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Entry'!$B$6:$J$30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Entry'!$F$7:$F$31</definedName>
    <definedName name="SumBank">'Data Entry'!$D$7:$D$31</definedName>
    <definedName name="SumExp">'Data Entry'!$I$7:$I$31</definedName>
    <definedName name="SumMonth">'Data Entry'!$B$7:$B$31</definedName>
    <definedName name="SumMonthNum">'Data Entry'!$C$7:$C$31</definedName>
    <definedName name="SumRevenue">'Data Entry'!$H$7:$H$31</definedName>
  </definedNames>
  <calcPr calcId="124519"/>
</workbook>
</file>

<file path=xl/calcChain.xml><?xml version="1.0" encoding="utf-8"?>
<calcChain xmlns="http://schemas.openxmlformats.org/spreadsheetml/2006/main">
  <c r="J23" i="2"/>
  <c r="G23"/>
  <c r="F26"/>
  <c r="C26"/>
  <c r="H26"/>
  <c r="H30" s="1"/>
  <c r="G30" i="47"/>
  <c r="G29"/>
  <c r="G28"/>
  <c r="G27"/>
  <c r="E30"/>
  <c r="E29"/>
  <c r="E28"/>
  <c r="E27"/>
  <c r="A3" i="2"/>
  <c r="B3" i="47"/>
  <c r="C26" i="51"/>
  <c r="G24" i="47" l="1"/>
  <c r="E24"/>
  <c r="G21" l="1"/>
  <c r="E21"/>
  <c r="G13" l="1"/>
  <c r="E13"/>
  <c r="D16" i="82"/>
  <c r="J8"/>
  <c r="J9"/>
  <c r="J10"/>
  <c r="J11"/>
  <c r="J12"/>
  <c r="J13"/>
  <c r="J14"/>
  <c r="J15"/>
  <c r="J16"/>
  <c r="J7"/>
  <c r="H17"/>
  <c r="I16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G18" i="47"/>
  <c r="E18"/>
  <c r="G8"/>
  <c r="E8"/>
  <c r="E7"/>
  <c r="G7"/>
  <c r="G9"/>
  <c r="E9"/>
  <c r="G10"/>
  <c r="E10"/>
  <c r="G12"/>
  <c r="E12"/>
  <c r="G11"/>
  <c r="E11"/>
  <c r="G14"/>
  <c r="E14"/>
  <c r="G16"/>
  <c r="E16"/>
  <c r="E26" i="2"/>
  <c r="E30" s="1"/>
  <c r="G15" i="47"/>
  <c r="E15"/>
  <c r="C25" i="51"/>
  <c r="C17"/>
  <c r="F16"/>
  <c r="F17" s="1"/>
  <c r="H16"/>
  <c r="H17" s="1"/>
  <c r="H18" s="1"/>
  <c r="J16"/>
  <c r="N7" i="2"/>
  <c r="M7"/>
  <c r="C31" i="51"/>
  <c r="A3"/>
  <c r="C39"/>
  <c r="C32"/>
  <c r="C30"/>
  <c r="K23"/>
  <c r="C24"/>
  <c r="C26" i="47"/>
  <c r="C30"/>
  <c r="I7" i="36"/>
  <c r="A20" i="2" s="1"/>
  <c r="N20" s="1"/>
  <c r="H7" i="36"/>
  <c r="A19" i="2" s="1"/>
  <c r="N19" s="1"/>
  <c r="G7" i="36"/>
  <c r="A18" i="2" s="1"/>
  <c r="N18" s="1"/>
  <c r="I6" i="36"/>
  <c r="A17" i="2" s="1"/>
  <c r="N17" s="1"/>
  <c r="H6" i="36"/>
  <c r="A16" i="2" s="1"/>
  <c r="N16" s="1"/>
  <c r="G6" i="36"/>
  <c r="A15" i="2" s="1"/>
  <c r="N15" s="1"/>
  <c r="I5" i="36"/>
  <c r="A14" i="2" s="1"/>
  <c r="N14" s="1"/>
  <c r="H5" i="36"/>
  <c r="A13" i="2" s="1"/>
  <c r="N13" s="1"/>
  <c r="G5" i="36"/>
  <c r="A12" i="2" s="1"/>
  <c r="N12" s="1"/>
  <c r="I4" i="36"/>
  <c r="A11" i="2" s="1"/>
  <c r="N11" s="1"/>
  <c r="H4" i="36"/>
  <c r="A10" i="2" s="1"/>
  <c r="N10" s="1"/>
  <c r="G4" i="36"/>
  <c r="A9" i="2" s="1"/>
  <c r="M9" s="1"/>
  <c r="I6"/>
  <c r="F6"/>
  <c r="C6"/>
  <c r="G17" i="82" l="1"/>
  <c r="I17" s="1"/>
  <c r="G18" s="1"/>
  <c r="I18" s="1"/>
  <c r="E17"/>
  <c r="K6" i="51"/>
  <c r="M20" i="2"/>
  <c r="M18"/>
  <c r="M16"/>
  <c r="M14"/>
  <c r="M12"/>
  <c r="M10"/>
  <c r="N9"/>
  <c r="O9" s="1"/>
  <c r="M19"/>
  <c r="M17"/>
  <c r="M15"/>
  <c r="M13"/>
  <c r="M11"/>
  <c r="J17" i="51"/>
  <c r="J18" s="1"/>
  <c r="F18"/>
  <c r="G6"/>
  <c r="I6"/>
  <c r="E23"/>
  <c r="C9" i="2"/>
  <c r="K11" i="51"/>
  <c r="I11"/>
  <c r="I23"/>
  <c r="I26" s="1"/>
  <c r="G11"/>
  <c r="G23"/>
  <c r="G26" s="1"/>
  <c r="C6" i="40"/>
  <c r="E25" i="51" l="1"/>
  <c r="E30"/>
  <c r="E26"/>
  <c r="C18" i="82"/>
  <c r="E18" s="1"/>
  <c r="J17"/>
  <c r="G24" i="51"/>
  <c r="G25"/>
  <c r="I39"/>
  <c r="I25"/>
  <c r="I24"/>
  <c r="M21" i="2"/>
  <c r="G32" i="51"/>
  <c r="O10" i="2"/>
  <c r="E32" i="51"/>
  <c r="E31"/>
  <c r="G30"/>
  <c r="G31"/>
  <c r="I30"/>
  <c r="I31"/>
  <c r="E39"/>
  <c r="E24"/>
  <c r="G39"/>
  <c r="N21" i="2"/>
  <c r="I32" i="51"/>
  <c r="C19" i="82" l="1"/>
  <c r="E19" s="1"/>
  <c r="J18"/>
  <c r="K24" i="51"/>
  <c r="K25"/>
  <c r="O11" i="2"/>
  <c r="K32" i="51"/>
  <c r="K31"/>
  <c r="K30"/>
  <c r="K26"/>
  <c r="O12" i="2" l="1"/>
  <c r="O13" l="1"/>
  <c r="O14" l="1"/>
  <c r="O15" l="1"/>
  <c r="O16" l="1"/>
  <c r="O17" l="1"/>
  <c r="E15" i="51" s="1"/>
  <c r="O18" i="2" l="1"/>
  <c r="O19" l="1"/>
  <c r="G15" i="51"/>
  <c r="O20" i="2" l="1"/>
  <c r="I15" i="51"/>
  <c r="O21" i="2" l="1"/>
  <c r="K15" i="51"/>
  <c r="G17" i="47" l="1"/>
  <c r="G19"/>
  <c r="G20"/>
  <c r="G22"/>
  <c r="G23"/>
  <c r="G25"/>
  <c r="G26"/>
  <c r="E17"/>
  <c r="E19"/>
  <c r="E20"/>
  <c r="E22"/>
  <c r="E23"/>
  <c r="E25"/>
  <c r="E26"/>
  <c r="C8" i="51"/>
  <c r="C9"/>
  <c r="C7"/>
  <c r="G19" i="2" l="1"/>
  <c r="I19"/>
  <c r="D19"/>
  <c r="C19"/>
  <c r="J19"/>
  <c r="F19"/>
  <c r="G11"/>
  <c r="I11"/>
  <c r="D11"/>
  <c r="J11"/>
  <c r="C11"/>
  <c r="F11"/>
  <c r="J16"/>
  <c r="C16"/>
  <c r="F16"/>
  <c r="G16"/>
  <c r="I16"/>
  <c r="D16"/>
  <c r="G15"/>
  <c r="I15"/>
  <c r="D15"/>
  <c r="J15"/>
  <c r="C15"/>
  <c r="F15"/>
  <c r="J20"/>
  <c r="C20"/>
  <c r="F20"/>
  <c r="G20"/>
  <c r="I20"/>
  <c r="D20"/>
  <c r="J12"/>
  <c r="C12"/>
  <c r="F12"/>
  <c r="G12"/>
  <c r="I12"/>
  <c r="D12"/>
  <c r="G17"/>
  <c r="I17"/>
  <c r="D17"/>
  <c r="J17"/>
  <c r="C17"/>
  <c r="F17"/>
  <c r="G13"/>
  <c r="I13"/>
  <c r="D13"/>
  <c r="J13"/>
  <c r="C13"/>
  <c r="F13"/>
  <c r="J18"/>
  <c r="C18"/>
  <c r="F18"/>
  <c r="G18"/>
  <c r="I18"/>
  <c r="D18"/>
  <c r="J14"/>
  <c r="C14"/>
  <c r="F14"/>
  <c r="G14"/>
  <c r="I14"/>
  <c r="D14"/>
  <c r="J10"/>
  <c r="C10"/>
  <c r="F10"/>
  <c r="G10"/>
  <c r="I10"/>
  <c r="D10"/>
  <c r="I9"/>
  <c r="F9"/>
  <c r="J9"/>
  <c r="G9"/>
  <c r="D9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21" i="2" l="1"/>
  <c r="G21"/>
  <c r="F21"/>
  <c r="H9"/>
  <c r="I21"/>
  <c r="K9"/>
  <c r="I32" i="47"/>
  <c r="K10" i="2" l="1"/>
  <c r="H10"/>
  <c r="K11" l="1"/>
  <c r="H11"/>
  <c r="H32" i="47"/>
  <c r="K12" i="2" l="1"/>
  <c r="K13" s="1"/>
  <c r="K14" s="1"/>
  <c r="H12"/>
  <c r="H13" s="1"/>
  <c r="H14" s="1"/>
  <c r="K15" l="1"/>
  <c r="H15"/>
  <c r="C21"/>
  <c r="D21"/>
  <c r="E9"/>
  <c r="H16" l="1"/>
  <c r="K16"/>
  <c r="E10"/>
  <c r="H17" l="1"/>
  <c r="E8" i="51" s="1"/>
  <c r="K17" i="2"/>
  <c r="E9" i="51" s="1"/>
  <c r="E11" i="2"/>
  <c r="I33" i="51"/>
  <c r="I27"/>
  <c r="K33"/>
  <c r="G33"/>
  <c r="K18" i="2" l="1"/>
  <c r="H18"/>
  <c r="E12"/>
  <c r="E13" s="1"/>
  <c r="E14" s="1"/>
  <c r="I35" i="51"/>
  <c r="K19" i="2" l="1"/>
  <c r="G9" i="51"/>
  <c r="H19" i="2"/>
  <c r="G8" i="51"/>
  <c r="E15" i="2"/>
  <c r="H20" l="1"/>
  <c r="I8" i="51"/>
  <c r="K20" i="2"/>
  <c r="I9" i="51"/>
  <c r="E16" i="2"/>
  <c r="K21" l="1"/>
  <c r="K24" s="1"/>
  <c r="K9" i="51"/>
  <c r="H21" i="2"/>
  <c r="K8" i="51"/>
  <c r="E17" i="2"/>
  <c r="E7" i="51" s="1"/>
  <c r="E33"/>
  <c r="H24" i="2" l="1"/>
  <c r="H31"/>
  <c r="E18"/>
  <c r="E27" i="51"/>
  <c r="K27"/>
  <c r="K35" s="1"/>
  <c r="G27"/>
  <c r="G35" s="1"/>
  <c r="E19" i="2" l="1"/>
  <c r="G7" i="51"/>
  <c r="G10" s="1"/>
  <c r="G16" s="1"/>
  <c r="G17" s="1"/>
  <c r="G18" s="1"/>
  <c r="E35"/>
  <c r="E10"/>
  <c r="E20" i="2" l="1"/>
  <c r="I7" i="51"/>
  <c r="I10" s="1"/>
  <c r="G40"/>
  <c r="E16"/>
  <c r="I16" l="1"/>
  <c r="I17" s="1"/>
  <c r="I18" s="1"/>
  <c r="I40"/>
  <c r="E21" i="2"/>
  <c r="K7" i="51"/>
  <c r="K10" s="1"/>
  <c r="E17"/>
  <c r="E18" s="1"/>
  <c r="E24" i="2" l="1"/>
  <c r="E31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<sst xmlns="http://schemas.openxmlformats.org/spreadsheetml/2006/main" count="219" uniqueCount="125">
  <si>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</si>
  <si>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</si>
  <si>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</si>
  <si>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</si>
  <si>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</si>
  <si>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</si>
  <si>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</si>
  <si>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</si>
  <si>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</si>
  <si>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</si>
  <si>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</si>
  <si>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</si>
  <si>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</si>
  <si>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</si>
  <si>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</si>
  <si>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</si>
  <si>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</si>
  <si>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</si>
  <si>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</si>
  <si>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</si>
  <si>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</si>
  <si>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</si>
  <si>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</si>
  <si>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</si>
  <si>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</si>
  <si>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</si>
  <si>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</si>
  <si>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</si>
  <si>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</si>
  <si>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</si>
  <si>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</si>
  <si>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</si>
  <si>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</si>
  <si>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</si>
  <si>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</si>
  <si>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</si>
  <si>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</si>
  <si>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</si>
  <si>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</si>
  <si>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</si>
  <si>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</si>
  <si>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</si>
  <si>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</si>
  <si>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</si>
  <si>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</si>
  <si>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</si>
  <si>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</si>
  <si>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</si>
  <si>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</si>
  <si>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</si>
  <si>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</si>
  <si>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</si>
  <si>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</si>
  <si>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</si>
  <si>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</si>
  <si>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</si>
  <si>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</si>
  <si>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</si>
  <si>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</si>
  <si>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</si>
  <si>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</si>
  <si>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</si>
  <si>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</si>
  <si>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</si>
  <si>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</si>
  <si>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</si>
  <si>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</si>
  <si>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</si>
  <si>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</si>
  <si>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</si>
  <si>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</si>
  <si>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</si>
  <si>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</si>
  <si>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</si>
  <si>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</si>
  <si>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</si>
  <si>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</si>
  <si>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</si>
  <si>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</si>
  <si>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</si>
  <si>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</si>
  <si>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</si>
  <si>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</si>
  <si>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</si>
  <si>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</si>
  <si>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</si>
  <si>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</si>
  <si>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</si>
  <si>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 xml:space="preserve">December Stmt.  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</si>
  <si>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</si>
  <si>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</si>
  <si>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</si>
  <si>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</si>
  <si>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</si>
  <si>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</si>
  <si>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</si>
  <si>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</si>
  <si>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</si>
  <si>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</si>
  <si>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</si>
  <si>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</si>
  <si>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</si>
  <si>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Per January Investment Report</t>
  </si>
  <si>
    <t>Memorials:  $445 Arlene Schulz (the Rest from Jim Keck, Jo Thorson, Arlene Christiansen, Delores Miller, and Jane Temme)</t>
  </si>
  <si>
    <t>Per February Investment Report</t>
  </si>
  <si>
    <t>Per March Investment Report</t>
  </si>
  <si>
    <t>Per April Investment Report</t>
  </si>
  <si>
    <t>Per May Investment Report</t>
  </si>
  <si>
    <t>Per June Investment Report</t>
  </si>
  <si>
    <t>Per July Investment Report</t>
  </si>
  <si>
    <t>Ray Svendsen Memorial</t>
  </si>
  <si>
    <t>Per August Investment Report</t>
  </si>
  <si>
    <t>Per September Investment Report</t>
  </si>
  <si>
    <t>From LCR Clearing Account</t>
  </si>
  <si>
    <t>Per Oct Investment Report</t>
  </si>
  <si>
    <t>Per Nov Investment Report</t>
  </si>
  <si>
    <t>Hospitality Center (12/20/19) Check #1137</t>
  </si>
  <si>
    <t>Cops &amp; Kids Reading (12/21/19) Check #1138</t>
  </si>
  <si>
    <t>Bethany House of Caring (12/22/19) Check #1139</t>
  </si>
  <si>
    <t>Tiny Homes-Milwaukee (12/20/19) Check #1140</t>
  </si>
  <si>
    <t>Hopes Center of Racine (12/20/19)  Check #1141</t>
  </si>
  <si>
    <t>Per December Investment Report</t>
  </si>
  <si>
    <t>Tiny Home (Sunday School Matching) Check #1014</t>
  </si>
  <si>
    <t>Per 2019 Fund Update</t>
  </si>
  <si>
    <t>Reconciliation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</si>
</sst>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3" fontId="7" fillId="0" borderId="10" xfId="1" applyNumberFormat="1" applyFont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43" fontId="7" fillId="0" borderId="50" xfId="0" applyNumberFormat="1" applyFont="1" applyFill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6" fillId="0" borderId="46" xfId="0" applyFont="1" applyBorder="1" applyAlignment="1">
      <alignment horizontal="right" vertical="center"/>
    </xf>
    <xf numFmtId="0" fontId="6" fillId="0" borderId="48" xfId="0" applyFont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0"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abSelected="1" workbookViewId="0">
      <selection sqref="A1:L1"/>
    </sheetView>
  </sheetViews>
  <sheetFormatPr defaultRowHeight="15.5"/>
  <cols>
    <col min="1" max="1" width="2.1796875" style="21" customWidth="1"/>
    <col min="2" max="2" width="3.7265625" style="21" customWidth="1"/>
    <col min="3" max="3" width="38.1796875" style="21" customWidth="1"/>
    <col min="4" max="4" width="1.6328125" style="21" customWidth="1"/>
    <col min="5" max="5" width="14.6328125" style="21" customWidth="1"/>
    <col min="6" max="6" width="1.6328125" style="21" customWidth="1"/>
    <col min="7" max="7" width="14.6328125" style="21" customWidth="1"/>
    <col min="8" max="8" width="1.6328125" style="21" customWidth="1"/>
    <col min="9" max="9" width="14.90625" style="21" customWidth="1"/>
    <col min="10" max="10" width="1.6328125" style="21" customWidth="1"/>
    <col min="11" max="11" width="15.81640625" style="21" customWidth="1"/>
    <col min="12" max="12" width="2.1796875" style="21" customWidth="1"/>
    <col min="13" max="13" width="14.6328125" style="21" customWidth="1"/>
    <col min="14" max="14" width="17.26953125" style="21" customWidth="1"/>
    <col min="15" max="16384" width="8.7265625" style="21"/>
  </cols>
  <sheetData>
    <row r="1" spans="1:15" ht="20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5" ht="20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5" ht="20">
      <c r="A3" s="167" t="str">
        <f>VLOOKUP(CurrQtr,LKQtr,5)&amp;", "&amp;CurrentYr</f>
        <v>4th Quarter, 2019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00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7"/>
      <c r="B5" s="28"/>
      <c r="C5" s="28"/>
      <c r="D5" s="28"/>
      <c r="E5" s="28"/>
      <c r="F5" s="28"/>
      <c r="G5" s="131"/>
      <c r="H5" s="131"/>
      <c r="I5" s="131"/>
      <c r="J5" s="131"/>
      <c r="K5" s="131"/>
      <c r="L5" s="29"/>
    </row>
    <row r="6" spans="1:15" ht="46.5">
      <c r="A6" s="31"/>
      <c r="B6" s="109" t="s">
        <v>35</v>
      </c>
      <c r="E6" s="108" t="s">
        <v>68</v>
      </c>
      <c r="G6" s="108" t="str">
        <f>VLOOKUP(CurrQtr,LKQtr,2)</f>
        <v>October</v>
      </c>
      <c r="H6" s="20"/>
      <c r="I6" s="108" t="str">
        <f>VLOOKUP(CurrQtr,LKQtr,3)</f>
        <v>November</v>
      </c>
      <c r="J6" s="20"/>
      <c r="K6" s="108" t="str">
        <f>VLOOKUP(CurrQtr,LKQtr,4)&amp;"
 (Quarter End Balance)"</f>
        <v>December
 (Quarter End Balance)</v>
      </c>
      <c r="L6" s="30"/>
    </row>
    <row r="7" spans="1:15">
      <c r="A7" s="31"/>
      <c r="B7" s="102">
        <v>1000</v>
      </c>
      <c r="C7" s="20" t="str">
        <f>IF(B7="","",VLOOKUP(B7,Chart,2))</f>
        <v>Fidelity Investments</v>
      </c>
      <c r="E7" s="22">
        <f>VLOOKUP(IF(CurrQtr=1,0,IF(CurrQtr=2,3,IF(CurrQtr=3,6,9))),BankAccounts,4)</f>
        <v>157416.94999999998</v>
      </c>
      <c r="G7" s="22">
        <f>VLOOKUP(IF(CurrQtr=1,1,IF(CurrQtr=2,4,IF(CurrQtr=3,7,10))),BankAccounts,4)</f>
        <v>160473.96</v>
      </c>
      <c r="H7" s="20"/>
      <c r="I7" s="22">
        <f>VLOOKUP(IF(CurrQtr=1,2,IF(CurrQtr=2,5,IF(CurrQtr=3,8,11))),BankAccounts,4)</f>
        <v>163417.74</v>
      </c>
      <c r="J7" s="20"/>
      <c r="K7" s="22">
        <f>VLOOKUP(IF(CurrQtr=1,3,IF(CurrQtr=2,6,IF(CurrQtr=3,9,12))),BankAccounts,4)</f>
        <v>158395.87</v>
      </c>
      <c r="L7" s="30"/>
      <c r="M7" s="23"/>
      <c r="N7" s="22"/>
      <c r="O7" s="22"/>
    </row>
    <row r="8" spans="1:15">
      <c r="A8" s="31"/>
      <c r="B8" s="102">
        <v>1010</v>
      </c>
      <c r="C8" s="20" t="str">
        <f>IF(B8="","",VLOOKUP(B8,Chart,2))</f>
        <v>Johnson Bank - Checking</v>
      </c>
      <c r="E8" s="22">
        <f>VLOOKUP(IF(CurrQtr=1,0,IF(CurrQtr=2,3,IF(CurrQtr=3,6,9))),BankAccounts,7)</f>
        <v>3736.25</v>
      </c>
      <c r="G8" s="22">
        <f>VLOOKUP(IF(CurrQtr=1,1,IF(CurrQtr=2,4,IF(CurrQtr=3,7,10))),BankAccounts,7)</f>
        <v>3761.25</v>
      </c>
      <c r="H8" s="20"/>
      <c r="I8" s="22">
        <f>VLOOKUP(IF(CurrQtr=1,2,IF(CurrQtr=2,5,IF(CurrQtr=3,8,11))),BankAccounts,7)</f>
        <v>3761.25</v>
      </c>
      <c r="J8" s="20"/>
      <c r="K8" s="22">
        <f>VLOOKUP(IF(CurrQtr=1,3,IF(CurrQtr=2,6,IF(CurrQtr=3,9,12))),BankAccounts,7)</f>
        <v>561.25</v>
      </c>
      <c r="L8" s="30"/>
    </row>
    <row r="9" spans="1:15">
      <c r="A9" s="31"/>
      <c r="B9" s="102">
        <v>1020</v>
      </c>
      <c r="C9" s="20" t="str">
        <f>IF(B9="","",VLOOKUP(B9,Chart,2))</f>
        <v>Racine Community Foundation</v>
      </c>
      <c r="E9" s="22">
        <f>VLOOKUP(IF(CurrQtr=1,0,IF(CurrQtr=2,3,IF(CurrQtr=3,6,9))),BankAccounts,10)</f>
        <v>21916.78</v>
      </c>
      <c r="G9" s="22">
        <f>VLOOKUP(IF(CurrQtr=1,1,IF(CurrQtr=2,4,IF(CurrQtr=3,7,10))),BankAccounts,10)</f>
        <v>21916.78</v>
      </c>
      <c r="H9" s="20"/>
      <c r="I9" s="22">
        <f>VLOOKUP(IF(CurrQtr=1,2,IF(CurrQtr=2,5,IF(CurrQtr=3,8,11))),BankAccounts,10)</f>
        <v>21916.78</v>
      </c>
      <c r="J9" s="20"/>
      <c r="K9" s="22">
        <f>VLOOKUP(IF(CurrQtr=1,3,IF(CurrQtr=2,6,IF(CurrQtr=3,9,12))),BankAccounts,10)</f>
        <v>25958.109999999997</v>
      </c>
      <c r="L9" s="30"/>
    </row>
    <row r="10" spans="1:15" ht="16" thickBot="1">
      <c r="A10" s="31"/>
      <c r="B10" s="46" t="s">
        <v>34</v>
      </c>
      <c r="C10" s="46"/>
      <c r="D10" s="46"/>
      <c r="E10" s="67">
        <f>SUM(E7:E9)</f>
        <v>183069.97999999998</v>
      </c>
      <c r="F10" s="46"/>
      <c r="G10" s="67">
        <f>SUM(G7:G9)</f>
        <v>186151.99</v>
      </c>
      <c r="H10" s="20"/>
      <c r="I10" s="67">
        <f>SUM(I7:I9)</f>
        <v>189095.77</v>
      </c>
      <c r="J10" s="20"/>
      <c r="K10" s="67">
        <f>SUM(K7:K9)</f>
        <v>184915.22999999998</v>
      </c>
      <c r="L10" s="30"/>
      <c r="M10" s="23"/>
      <c r="N10" s="23"/>
    </row>
    <row r="11" spans="1:15" ht="4" customHeight="1" thickTop="1">
      <c r="A11" s="31"/>
      <c r="E11" s="23"/>
      <c r="G11" s="108" t="str">
        <f>VLOOKUP(CurrQtr,LKQtr,2)</f>
        <v>October</v>
      </c>
      <c r="H11" s="20"/>
      <c r="I11" s="108" t="str">
        <f>VLOOKUP(CurrQtr,LKQtr,2)</f>
        <v>October</v>
      </c>
      <c r="J11" s="20"/>
      <c r="K11" s="108" t="str">
        <f>VLOOKUP(CurrQtr,LKQtr,2)</f>
        <v>October</v>
      </c>
      <c r="L11" s="30"/>
    </row>
    <row r="12" spans="1:15">
      <c r="A12" s="31"/>
      <c r="B12" s="46"/>
      <c r="C12" s="46"/>
      <c r="D12" s="46"/>
      <c r="E12" s="68"/>
      <c r="F12" s="46"/>
      <c r="G12" s="68"/>
      <c r="H12" s="20"/>
      <c r="I12" s="20"/>
      <c r="J12" s="20"/>
      <c r="K12" s="26"/>
      <c r="L12" s="30"/>
    </row>
    <row r="13" spans="1:15" ht="4" customHeight="1">
      <c r="A13" s="31"/>
      <c r="E13" s="23"/>
      <c r="G13" s="23"/>
      <c r="H13" s="20"/>
      <c r="I13" s="20"/>
      <c r="J13" s="20"/>
      <c r="K13" s="101"/>
      <c r="L13" s="30"/>
    </row>
    <row r="14" spans="1:15">
      <c r="A14" s="31"/>
      <c r="B14" s="21" t="s">
        <v>83</v>
      </c>
      <c r="E14" s="23"/>
      <c r="G14" s="23"/>
      <c r="H14" s="20"/>
      <c r="I14" s="20"/>
      <c r="J14" s="20"/>
      <c r="K14" s="26"/>
      <c r="L14" s="30"/>
    </row>
    <row r="15" spans="1:15">
      <c r="A15" s="31"/>
      <c r="C15" s="21" t="s">
        <v>75</v>
      </c>
      <c r="E15" s="22">
        <f>VLOOKUP(IF(CurrQtr=1,0,IF(CurrQtr=2,3,IF(CurrQtr=3,6,9))),BankAccounts,14)</f>
        <v>129258.65</v>
      </c>
      <c r="G15" s="22">
        <f>VLOOKUP(IF(CurrQtr=1,1,IF(CurrQtr=2,4,IF(CurrQtr=3,7,10))),BankAccounts,14)</f>
        <v>129283.65</v>
      </c>
      <c r="H15" s="20"/>
      <c r="I15" s="22">
        <f>VLOOKUP(IF(CurrQtr=1,2,IF(CurrQtr=2,5,IF(CurrQtr=3,8,11))),BankAccounts,14)</f>
        <v>129283.65</v>
      </c>
      <c r="J15" s="20"/>
      <c r="K15" s="22">
        <f>VLOOKUP(IF(CurrQtr=1,3,IF(CurrQtr=2,6,IF(CurrQtr=3,9,12))),BankAccounts,14)</f>
        <v>129283.65</v>
      </c>
      <c r="L15" s="30"/>
      <c r="M15" s="23"/>
      <c r="O15" s="136"/>
    </row>
    <row r="16" spans="1:15">
      <c r="A16" s="31"/>
      <c r="C16" s="21" t="s">
        <v>92</v>
      </c>
      <c r="E16" s="23">
        <f>+E10-E15</f>
        <v>53811.329999999987</v>
      </c>
      <c r="F16" s="23">
        <f t="shared" ref="F16:K16" si="0">+F10-F15</f>
        <v>0</v>
      </c>
      <c r="G16" s="23">
        <f t="shared" si="0"/>
        <v>56868.34</v>
      </c>
      <c r="H16" s="23">
        <f t="shared" si="0"/>
        <v>0</v>
      </c>
      <c r="I16" s="23">
        <f t="shared" si="0"/>
        <v>59812.119999999995</v>
      </c>
      <c r="J16" s="23">
        <f t="shared" si="0"/>
        <v>0</v>
      </c>
      <c r="K16" s="23">
        <f t="shared" si="0"/>
        <v>55631.579999999987</v>
      </c>
      <c r="L16" s="30"/>
      <c r="M16" s="23"/>
    </row>
    <row r="17" spans="1:15">
      <c r="A17" s="31"/>
      <c r="B17" s="129"/>
      <c r="C17" s="21" t="str">
        <f>Reserve*100&amp;"% Reserve (of available funds)"</f>
        <v>15% Reserve (of available funds)</v>
      </c>
      <c r="E17" s="23">
        <f t="shared" ref="E17:K17" si="1">+E16*Reserve</f>
        <v>8071.6994999999979</v>
      </c>
      <c r="F17" s="23">
        <f t="shared" si="1"/>
        <v>0</v>
      </c>
      <c r="G17" s="23">
        <f t="shared" si="1"/>
        <v>8530.2509999999984</v>
      </c>
      <c r="H17" s="23">
        <f t="shared" si="1"/>
        <v>0</v>
      </c>
      <c r="I17" s="23">
        <f t="shared" si="1"/>
        <v>8971.8179999999993</v>
      </c>
      <c r="J17" s="23">
        <f t="shared" si="1"/>
        <v>0</v>
      </c>
      <c r="K17" s="23">
        <f t="shared" si="1"/>
        <v>8344.7369999999974</v>
      </c>
      <c r="L17" s="30"/>
      <c r="M17" s="23"/>
      <c r="O17" s="136"/>
    </row>
    <row r="18" spans="1:15" ht="16" thickBot="1">
      <c r="A18" s="31"/>
      <c r="B18" s="46" t="s">
        <v>85</v>
      </c>
      <c r="C18" s="46"/>
      <c r="D18" s="46"/>
      <c r="E18" s="67">
        <f>+E16-E17</f>
        <v>45739.630499999992</v>
      </c>
      <c r="F18" s="67">
        <f t="shared" ref="F18:K18" si="2">+F16-F17</f>
        <v>0</v>
      </c>
      <c r="G18" s="67">
        <f t="shared" si="2"/>
        <v>48338.089</v>
      </c>
      <c r="H18" s="67">
        <f t="shared" si="2"/>
        <v>0</v>
      </c>
      <c r="I18" s="67">
        <f t="shared" si="2"/>
        <v>50840.301999999996</v>
      </c>
      <c r="J18" s="67">
        <f t="shared" si="2"/>
        <v>0</v>
      </c>
      <c r="K18" s="67">
        <f t="shared" si="2"/>
        <v>47286.842999999993</v>
      </c>
      <c r="L18" s="30"/>
      <c r="M18" s="23"/>
    </row>
    <row r="19" spans="1:15" ht="16" thickTop="1">
      <c r="A19" s="31"/>
      <c r="B19" s="46"/>
      <c r="C19" s="135" t="s">
        <v>93</v>
      </c>
      <c r="D19" s="46"/>
      <c r="E19" s="134"/>
      <c r="F19" s="134"/>
      <c r="G19" s="134"/>
      <c r="H19" s="134"/>
      <c r="I19" s="134"/>
      <c r="J19" s="134"/>
      <c r="K19" s="134"/>
      <c r="L19" s="30"/>
      <c r="M19" s="23"/>
      <c r="N19" s="23"/>
    </row>
    <row r="20" spans="1:15" ht="13" customHeight="1" thickBot="1">
      <c r="A20" s="32"/>
      <c r="B20" s="33"/>
      <c r="C20" s="33"/>
      <c r="D20" s="33"/>
      <c r="E20" s="97"/>
      <c r="F20" s="33"/>
      <c r="G20" s="97"/>
      <c r="H20" s="36"/>
      <c r="I20" s="36"/>
      <c r="J20" s="36"/>
      <c r="K20" s="132"/>
      <c r="L20" s="35"/>
    </row>
    <row r="21" spans="1:15" ht="10" customHeight="1" thickTop="1" thickBot="1">
      <c r="B21" s="33"/>
      <c r="C21" s="33"/>
      <c r="D21" s="33"/>
      <c r="E21" s="34"/>
      <c r="G21" s="26"/>
      <c r="K21" s="98"/>
    </row>
    <row r="22" spans="1:15" ht="22.5" customHeight="1" thickTop="1">
      <c r="A22" s="27"/>
      <c r="B22" s="168" t="s">
        <v>40</v>
      </c>
      <c r="C22" s="168"/>
      <c r="D22" s="168"/>
      <c r="E22" s="168"/>
      <c r="F22" s="168"/>
      <c r="G22" s="168"/>
      <c r="H22" s="168"/>
      <c r="I22" s="168"/>
      <c r="J22" s="168"/>
      <c r="K22" s="168"/>
      <c r="L22" s="29"/>
    </row>
    <row r="23" spans="1:15" ht="31">
      <c r="A23" s="31"/>
      <c r="B23" s="117" t="s">
        <v>36</v>
      </c>
      <c r="E23" s="169" t="str">
        <f>VLOOKUP(CurrQtr,LKQtr,2)</f>
        <v>October</v>
      </c>
      <c r="F23" s="169"/>
      <c r="G23" s="169" t="str">
        <f>VLOOKUP(CurrQtr,LKQtr,3)</f>
        <v>November</v>
      </c>
      <c r="H23" s="169"/>
      <c r="I23" s="169" t="str">
        <f>VLOOKUP(CurrQtr,LKQtr,4)</f>
        <v>December</v>
      </c>
      <c r="J23" s="169"/>
      <c r="K23" s="73" t="str">
        <f>"Total "&amp;VLOOKUP(CurrQtr,LKQtr,5)</f>
        <v>Total 4th Quarter</v>
      </c>
      <c r="L23" s="30"/>
    </row>
    <row r="24" spans="1:15">
      <c r="A24" s="31"/>
      <c r="B24" s="116">
        <v>4000</v>
      </c>
      <c r="C24" s="20" t="str">
        <f>VLOOKUP(B24,Accounts,2)</f>
        <v>Contributions (Principal Increase)</v>
      </c>
      <c r="E24" s="22">
        <f>SUMIFS(SumRevenue,SumMonth,E$23,SumAccount,$B24)</f>
        <v>25</v>
      </c>
      <c r="F24" s="22"/>
      <c r="G24" s="22">
        <f>SUMIFS(SumRevenue,SumMonth,G$23,SumAccount,$B24)</f>
        <v>0</v>
      </c>
      <c r="H24" s="22"/>
      <c r="I24" s="22">
        <f>SUMIFS(SumRevenue,SumMonth,I$23,SumAccount,$B24)</f>
        <v>0</v>
      </c>
      <c r="J24" s="22"/>
      <c r="K24" s="23">
        <f>SUM(E24:I24)</f>
        <v>25</v>
      </c>
      <c r="L24" s="30"/>
      <c r="M24" s="23"/>
    </row>
    <row r="25" spans="1:15">
      <c r="A25" s="31"/>
      <c r="B25" s="116">
        <v>4010</v>
      </c>
      <c r="C25" s="20" t="str">
        <f>VLOOKUP(B25,Accounts,2)</f>
        <v>Interest</v>
      </c>
      <c r="E25" s="22">
        <f>SUMIFS(SumRevenue,SumMonth,E$23,SumAccount,$B25)</f>
        <v>0</v>
      </c>
      <c r="G25" s="22">
        <f>SUMIFS(SumRevenue,SumMonth,G$23,SumAccount,$B25)</f>
        <v>0</v>
      </c>
      <c r="H25" s="20"/>
      <c r="I25" s="22">
        <f>SUMIFS(SumRevenue,SumMonth,I$23,SumAccount,$B25)</f>
        <v>0</v>
      </c>
      <c r="J25" s="20"/>
      <c r="K25" s="23">
        <f>SUM(E25:I25)</f>
        <v>0</v>
      </c>
      <c r="L25" s="30"/>
      <c r="M25" s="23"/>
    </row>
    <row r="26" spans="1:15">
      <c r="A26" s="31"/>
      <c r="B26" s="116">
        <v>4020</v>
      </c>
      <c r="C26" s="20" t="str">
        <f>VLOOKUP(B26,Accounts,2)&amp;" (Net)"</f>
        <v>Change in Investment Value (Net)</v>
      </c>
      <c r="E26" s="118">
        <f>SUMIFS(SumRevenue,SumMonth,E$23,SumAccount,$B26)-SUMIFS(SumExp,SumMonth,E$23,SumAccount,$B26)</f>
        <v>3057.01</v>
      </c>
      <c r="F26" s="119"/>
      <c r="G26" s="118">
        <f>SUMIFS(SumRevenue,SumMonth,G$23,SumAccount,$B26)-SUMIFS(SumExp,SumMonth,G$23,SumAccount,$B26)</f>
        <v>2943.78</v>
      </c>
      <c r="H26" s="120"/>
      <c r="I26" s="118">
        <f>SUMIFS(SumRevenue,SumMonth,I$23,SumAccount,$B26)-SUMIFS(SumExp,SumMonth,I$23,SumAccount,$B26)</f>
        <v>8250</v>
      </c>
      <c r="J26" s="120"/>
      <c r="K26" s="121">
        <f>SUM(E26:I26)</f>
        <v>14250.79</v>
      </c>
      <c r="L26" s="30"/>
    </row>
    <row r="27" spans="1:15" ht="20">
      <c r="A27" s="31"/>
      <c r="B27" s="46" t="s">
        <v>37</v>
      </c>
      <c r="C27" s="66"/>
      <c r="D27" s="69"/>
      <c r="E27" s="70">
        <f>SUM(E24:E26)</f>
        <v>3082.01</v>
      </c>
      <c r="F27" s="69"/>
      <c r="G27" s="70">
        <f>SUM(G24:G26)</f>
        <v>2943.78</v>
      </c>
      <c r="H27" s="66"/>
      <c r="I27" s="70">
        <f>SUM(I24:I26)</f>
        <v>8250</v>
      </c>
      <c r="J27" s="71"/>
      <c r="K27" s="70">
        <f>SUM(K24:K26)</f>
        <v>14275.79</v>
      </c>
      <c r="L27" s="30"/>
      <c r="M27" s="23"/>
    </row>
    <row r="28" spans="1:15" ht="7.5" customHeight="1">
      <c r="A28" s="31"/>
      <c r="C28" s="20"/>
      <c r="D28" s="24"/>
      <c r="E28" s="22"/>
      <c r="F28" s="24"/>
      <c r="G28" s="22"/>
      <c r="H28" s="20"/>
      <c r="I28" s="22"/>
      <c r="J28" s="25"/>
      <c r="K28" s="23"/>
      <c r="L28" s="30"/>
    </row>
    <row r="29" spans="1:15" ht="18.5">
      <c r="A29" s="31"/>
      <c r="B29" s="46" t="s">
        <v>38</v>
      </c>
      <c r="C29" s="20"/>
      <c r="D29" s="24"/>
      <c r="E29" s="22"/>
      <c r="F29" s="24"/>
      <c r="G29" s="22"/>
      <c r="H29" s="20"/>
      <c r="I29" s="22"/>
      <c r="J29" s="25"/>
      <c r="K29" s="23"/>
      <c r="L29" s="30"/>
    </row>
    <row r="30" spans="1:15" ht="15.5" customHeight="1">
      <c r="A30" s="31"/>
      <c r="B30" s="116">
        <v>5000</v>
      </c>
      <c r="C30" s="20" t="str">
        <f>VLOOKUP(B30,Accounts,2)</f>
        <v>Grants</v>
      </c>
      <c r="E30" s="22">
        <f>SUMIFS(SumExp,SumMonth,E$23,SumAccount,$B30)</f>
        <v>0</v>
      </c>
      <c r="G30" s="22">
        <f>SUMIFS(SumExp,SumMonth,G$23,SumAccount,$B30)</f>
        <v>0</v>
      </c>
      <c r="H30" s="20"/>
      <c r="I30" s="22">
        <f>SUMIFS(SumExp,SumMonth,I$23,SumAccount,$B30)</f>
        <v>12200</v>
      </c>
      <c r="J30" s="20"/>
      <c r="K30" s="23">
        <f>SUM(E30:I30)</f>
        <v>12200</v>
      </c>
      <c r="L30" s="30"/>
    </row>
    <row r="31" spans="1:15" ht="15.5" customHeight="1">
      <c r="A31" s="31"/>
      <c r="B31" s="116">
        <v>5010</v>
      </c>
      <c r="C31" s="20" t="str">
        <f>VLOOKUP(B31,Accounts,2)</f>
        <v>Fund Expenses</v>
      </c>
      <c r="E31" s="22">
        <f>SUMIFS(SumExp,SumMonth,E$23,SumAccount,$B31)</f>
        <v>0</v>
      </c>
      <c r="G31" s="22">
        <f>SUMIFS(SumExp,SumMonth,G$23,SumAccount,$B31)</f>
        <v>0</v>
      </c>
      <c r="H31" s="20"/>
      <c r="I31" s="22">
        <f>SUMIFS(SumExp,SumMonth,I$23,SumAccount,$B31)</f>
        <v>230.54</v>
      </c>
      <c r="J31" s="20"/>
      <c r="K31" s="23">
        <f>SUM(E31:I31)</f>
        <v>230.54</v>
      </c>
      <c r="L31" s="30"/>
    </row>
    <row r="32" spans="1:15" ht="15.5" customHeight="1">
      <c r="A32" s="31"/>
      <c r="B32" s="116">
        <v>5050</v>
      </c>
      <c r="C32" s="20" t="str">
        <f>VLOOKUP(B32,Accounts,2)</f>
        <v>Reductions to Principal</v>
      </c>
      <c r="E32" s="118">
        <f>SUMIFS(SumExp,SumMonth,E$23,SumAccount,$B32)</f>
        <v>0</v>
      </c>
      <c r="F32" s="119"/>
      <c r="G32" s="118">
        <f>SUMIFS(SumExp,SumMonth,G$23,SumAccount,$B32)</f>
        <v>0</v>
      </c>
      <c r="H32" s="120"/>
      <c r="I32" s="118">
        <f>SUMIFS(SumExp,SumMonth,I$23,SumAccount,$B32)</f>
        <v>0</v>
      </c>
      <c r="J32" s="120"/>
      <c r="K32" s="121">
        <f>SUM(E32:I32)</f>
        <v>0</v>
      </c>
      <c r="L32" s="30"/>
    </row>
    <row r="33" spans="1:14" ht="15.5" customHeight="1">
      <c r="A33" s="31"/>
      <c r="B33" s="46" t="s">
        <v>33</v>
      </c>
      <c r="E33" s="70">
        <f>SUM(E30:E32)</f>
        <v>0</v>
      </c>
      <c r="G33" s="70">
        <f>SUM(G30:G32)</f>
        <v>0</v>
      </c>
      <c r="H33" s="66"/>
      <c r="I33" s="70">
        <f>SUM(I30:I32)</f>
        <v>12430.54</v>
      </c>
      <c r="J33" s="71"/>
      <c r="K33" s="70">
        <f>SUM(K30:K32)</f>
        <v>12430.54</v>
      </c>
      <c r="L33" s="30"/>
      <c r="M33" s="23"/>
      <c r="N33" s="23"/>
    </row>
    <row r="34" spans="1:14" ht="9" customHeight="1">
      <c r="A34" s="31"/>
      <c r="B34" s="46"/>
      <c r="E34" s="70"/>
      <c r="G34" s="70"/>
      <c r="H34" s="66"/>
      <c r="I34" s="70"/>
      <c r="J34" s="71"/>
      <c r="K34" s="70"/>
      <c r="L34" s="30"/>
    </row>
    <row r="35" spans="1:14" ht="15.5" customHeight="1" thickBot="1">
      <c r="A35" s="31"/>
      <c r="B35" s="46" t="s">
        <v>39</v>
      </c>
      <c r="E35" s="72">
        <f>+E27-E33</f>
        <v>3082.01</v>
      </c>
      <c r="G35" s="72">
        <f>+G27-G33</f>
        <v>2943.78</v>
      </c>
      <c r="H35" s="66"/>
      <c r="I35" s="72">
        <f>+I27-I33</f>
        <v>-4180.5400000000009</v>
      </c>
      <c r="J35" s="71"/>
      <c r="K35" s="72">
        <f>+K27-K33</f>
        <v>1845.25</v>
      </c>
      <c r="L35" s="30"/>
      <c r="M35" s="23"/>
    </row>
    <row r="36" spans="1:14" ht="11" customHeight="1" thickTop="1" thickBot="1">
      <c r="A36" s="32"/>
      <c r="B36" s="33"/>
      <c r="C36" s="33"/>
      <c r="D36" s="33"/>
      <c r="E36" s="33"/>
      <c r="F36" s="33"/>
      <c r="G36" s="33"/>
      <c r="H36" s="36"/>
      <c r="I36" s="33"/>
      <c r="J36" s="36"/>
      <c r="K36" s="33"/>
      <c r="L36" s="35"/>
    </row>
    <row r="37" spans="1:14" ht="16" thickTop="1">
      <c r="H37" s="20"/>
      <c r="J37" s="20"/>
      <c r="M37" s="23"/>
    </row>
    <row r="38" spans="1:14">
      <c r="A38" s="116" t="s">
        <v>76</v>
      </c>
      <c r="G38" s="26"/>
      <c r="H38" s="20"/>
      <c r="J38" s="20"/>
    </row>
    <row r="39" spans="1:14">
      <c r="B39" s="116">
        <v>5020</v>
      </c>
      <c r="C39" s="122" t="str">
        <f>VLOOKUP(B39,Accounts,2)</f>
        <v>Transfer Funds</v>
      </c>
      <c r="E39" s="22" t="str">
        <f>IF(SUMIFS(SumRevenue,SumMonth,E$23,SumAccount,$B39)-SUMIFS(SumExp,SumMonth,E$23,SumAccount,$B39)=0,"","ERROR WITH TRANSFERS")</f>
        <v/>
      </c>
      <c r="G39" s="22" t="str">
        <f>IF(SUMIFS(SumRevenue,SumMonth,G$23,SumAccount,$B39)-SUMIFS(SumExp,SumMonth,G$23,SumAccount,$B39)=0,"","ERROR WITH TRANSFERS")</f>
        <v/>
      </c>
      <c r="H39" s="20"/>
      <c r="I39" s="22" t="str">
        <f>IF(SUMIFS(SumRevenue,SumMonth,I$23,SumAccount,$B39)-SUMIFS(SumExp,SumMonth,I$23,SumAccount,$B39)=0,"","ERROR WITH TRANSFERS")</f>
        <v/>
      </c>
      <c r="J39" s="20"/>
    </row>
    <row r="40" spans="1:14">
      <c r="B40" s="116" t="s">
        <v>77</v>
      </c>
      <c r="E40" s="26"/>
      <c r="F40" s="26"/>
      <c r="G40" s="26" t="str">
        <f>IF(ROUND(+G10-$E10-E35,0)=0,"","ERROR IN BALANCES")</f>
        <v/>
      </c>
      <c r="H40" s="26"/>
      <c r="I40" s="26" t="str">
        <f>IF(ROUND(+I10-$E10-G35-E35,0)=0,"","ERROR IN BALANCES")</f>
        <v/>
      </c>
      <c r="J40" s="26"/>
      <c r="K40" s="26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7">
    <mergeCell ref="A1:L1"/>
    <mergeCell ref="B22:K22"/>
    <mergeCell ref="A3:K3"/>
    <mergeCell ref="A2:L2"/>
    <mergeCell ref="E23:F23"/>
    <mergeCell ref="G23:H23"/>
    <mergeCell ref="I23:J23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53</v>
      </c>
      <c r="C8" s="197"/>
      <c r="D8" s="198"/>
      <c r="E8" s="92">
        <v>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209" t="s">
        <v>54</v>
      </c>
      <c r="C8" s="210"/>
      <c r="D8" s="211"/>
      <c r="E8" s="92">
        <f>60+50+70+80</f>
        <v>260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209" t="s">
        <v>55</v>
      </c>
      <c r="C8" s="210"/>
      <c r="D8" s="211"/>
      <c r="E8" s="92">
        <v>150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E16" sqref="E16"/>
    </sheetView>
  </sheetViews>
  <sheetFormatPr defaultRowHeight="14.5"/>
  <cols>
    <col min="1" max="1" width="8.7265625" style="140"/>
    <col min="2" max="2" width="9.90625" style="140" customWidth="1"/>
    <col min="3" max="3" width="12.26953125" customWidth="1"/>
    <col min="4" max="4" width="15.36328125" customWidth="1"/>
    <col min="5" max="5" width="12.36328125" customWidth="1"/>
    <col min="6" max="6" width="3.08984375" customWidth="1"/>
    <col min="7" max="7" width="12.81640625" customWidth="1"/>
    <col min="8" max="8" width="12.6328125" customWidth="1"/>
    <col min="9" max="9" width="13.08984375" customWidth="1"/>
    <col min="10" max="10" width="10.81640625" bestFit="1" customWidth="1"/>
  </cols>
  <sheetData>
    <row r="5" spans="1:16">
      <c r="A5" s="140" t="s">
        <v>75</v>
      </c>
      <c r="C5" s="212" t="s">
        <v>98</v>
      </c>
      <c r="D5" s="212"/>
      <c r="E5" s="212"/>
      <c r="G5" s="212" t="s">
        <v>99</v>
      </c>
      <c r="H5" s="212"/>
      <c r="I5" s="212"/>
      <c r="J5" t="s">
        <v>100</v>
      </c>
    </row>
    <row r="6" spans="1:16">
      <c r="B6" s="140" t="s">
        <v>86</v>
      </c>
      <c r="C6" s="140" t="s">
        <v>94</v>
      </c>
      <c r="D6" s="140" t="s">
        <v>96</v>
      </c>
      <c r="E6" s="140" t="s">
        <v>95</v>
      </c>
      <c r="G6" s="140" t="s">
        <v>94</v>
      </c>
      <c r="H6" s="140" t="s">
        <v>96</v>
      </c>
      <c r="I6" s="140" t="s">
        <v>95</v>
      </c>
    </row>
    <row r="7" spans="1:16">
      <c r="A7" s="140">
        <v>2015</v>
      </c>
      <c r="B7" s="140">
        <v>3</v>
      </c>
      <c r="C7" s="139">
        <v>126153.65</v>
      </c>
      <c r="D7" s="139"/>
      <c r="E7" s="137">
        <f>+C7+D7</f>
        <v>126153.65</v>
      </c>
      <c r="G7" s="139">
        <v>126153.65</v>
      </c>
      <c r="H7" s="139"/>
      <c r="I7" s="137">
        <f>+G7+H7</f>
        <v>126153.65</v>
      </c>
      <c r="J7" s="137">
        <f>+E7-I7</f>
        <v>0</v>
      </c>
    </row>
    <row r="8" spans="1:16">
      <c r="B8" s="140">
        <v>4</v>
      </c>
      <c r="C8" s="138">
        <f>+E7</f>
        <v>126153.65</v>
      </c>
      <c r="D8" s="139"/>
      <c r="E8" s="137">
        <f>+C8+D8</f>
        <v>126153.65</v>
      </c>
      <c r="G8" s="138">
        <f>+I7</f>
        <v>126153.65</v>
      </c>
      <c r="H8" s="139"/>
      <c r="I8" s="137">
        <f>+G8+H8</f>
        <v>126153.65</v>
      </c>
      <c r="J8" s="137">
        <f t="shared" ref="J8:J18" si="0">+E8-I8</f>
        <v>0</v>
      </c>
    </row>
    <row r="9" spans="1:16">
      <c r="A9" s="140">
        <v>2016</v>
      </c>
      <c r="B9" s="140">
        <v>1</v>
      </c>
      <c r="C9" s="138">
        <f>+E8</f>
        <v>126153.65</v>
      </c>
      <c r="D9" s="139"/>
      <c r="E9" s="137">
        <f t="shared" ref="E9:E14" si="1">+C9+D9</f>
        <v>126153.65</v>
      </c>
      <c r="G9" s="138">
        <f>+I8</f>
        <v>126153.65</v>
      </c>
      <c r="H9" s="139"/>
      <c r="I9" s="137">
        <f t="shared" ref="I9:I18" si="2">+G9+H9</f>
        <v>126153.65</v>
      </c>
      <c r="J9" s="137">
        <f t="shared" si="0"/>
        <v>0</v>
      </c>
    </row>
    <row r="10" spans="1:16">
      <c r="B10" s="140">
        <v>2</v>
      </c>
      <c r="C10" s="138">
        <f t="shared" ref="C10:C14" si="3">+E9</f>
        <v>126153.65</v>
      </c>
      <c r="D10" s="139"/>
      <c r="E10" s="137">
        <f t="shared" si="1"/>
        <v>126153.65</v>
      </c>
      <c r="G10" s="138">
        <f t="shared" ref="G10:G18" si="4">+I9</f>
        <v>126153.65</v>
      </c>
      <c r="H10" s="139"/>
      <c r="I10" s="137">
        <f t="shared" si="2"/>
        <v>126153.65</v>
      </c>
      <c r="J10" s="137">
        <f t="shared" si="0"/>
        <v>0</v>
      </c>
    </row>
    <row r="11" spans="1:16">
      <c r="B11" s="140">
        <v>3</v>
      </c>
      <c r="C11" s="138">
        <f t="shared" si="3"/>
        <v>126153.65</v>
      </c>
      <c r="D11" s="139"/>
      <c r="E11" s="137">
        <f t="shared" si="1"/>
        <v>126153.65</v>
      </c>
      <c r="G11" s="138">
        <f t="shared" si="4"/>
        <v>126153.65</v>
      </c>
      <c r="H11" s="139"/>
      <c r="I11" s="137">
        <f t="shared" si="2"/>
        <v>126153.65</v>
      </c>
      <c r="J11" s="137">
        <f t="shared" si="0"/>
        <v>0</v>
      </c>
    </row>
    <row r="12" spans="1:16">
      <c r="A12" s="140">
        <v>2017</v>
      </c>
      <c r="B12" s="140">
        <v>1</v>
      </c>
      <c r="C12" s="138">
        <f t="shared" si="3"/>
        <v>126153.65</v>
      </c>
      <c r="D12" s="139"/>
      <c r="E12" s="137">
        <f t="shared" si="1"/>
        <v>126153.65</v>
      </c>
      <c r="G12" s="138">
        <f t="shared" si="4"/>
        <v>126153.65</v>
      </c>
      <c r="H12" s="139"/>
      <c r="I12" s="137">
        <f t="shared" si="2"/>
        <v>126153.65</v>
      </c>
      <c r="J12" s="137">
        <f t="shared" si="0"/>
        <v>0</v>
      </c>
    </row>
    <row r="13" spans="1:16">
      <c r="B13" s="140">
        <v>2</v>
      </c>
      <c r="C13" s="138">
        <f t="shared" si="3"/>
        <v>126153.65</v>
      </c>
      <c r="D13" s="139"/>
      <c r="E13" s="137">
        <f t="shared" si="1"/>
        <v>126153.65</v>
      </c>
      <c r="G13" s="138">
        <f t="shared" si="4"/>
        <v>126153.65</v>
      </c>
      <c r="H13" s="139"/>
      <c r="I13" s="137">
        <f t="shared" si="2"/>
        <v>126153.65</v>
      </c>
      <c r="J13" s="137">
        <f t="shared" si="0"/>
        <v>0</v>
      </c>
    </row>
    <row r="14" spans="1:16">
      <c r="B14" s="140">
        <v>3</v>
      </c>
      <c r="C14" s="138">
        <f t="shared" si="3"/>
        <v>126153.65</v>
      </c>
      <c r="D14" s="139"/>
      <c r="E14" s="137">
        <f t="shared" si="1"/>
        <v>126153.65</v>
      </c>
      <c r="G14" s="138">
        <f t="shared" si="4"/>
        <v>126153.65</v>
      </c>
      <c r="H14" s="139"/>
      <c r="I14" s="137">
        <f t="shared" si="2"/>
        <v>126153.65</v>
      </c>
      <c r="J14" s="137">
        <f t="shared" si="0"/>
        <v>0</v>
      </c>
    </row>
    <row r="15" spans="1:16">
      <c r="A15" s="140">
        <v>2018</v>
      </c>
      <c r="B15" s="140">
        <v>1</v>
      </c>
      <c r="C15" s="138">
        <f t="shared" ref="C15:C19" si="5">+E14</f>
        <v>126153.65</v>
      </c>
      <c r="D15" s="139">
        <v>10</v>
      </c>
      <c r="E15" s="137">
        <f t="shared" ref="E15:E19" si="6">+C15+D15</f>
        <v>126163.65</v>
      </c>
      <c r="G15" s="138">
        <f t="shared" si="4"/>
        <v>126153.65</v>
      </c>
      <c r="H15" s="139"/>
      <c r="I15" s="137">
        <f t="shared" si="2"/>
        <v>126153.65</v>
      </c>
      <c r="J15" s="137">
        <f t="shared" si="0"/>
        <v>10</v>
      </c>
      <c r="P15">
        <v>7</v>
      </c>
    </row>
    <row r="16" spans="1:16">
      <c r="B16" s="140">
        <v>4</v>
      </c>
      <c r="C16" s="138">
        <f t="shared" si="5"/>
        <v>126163.65</v>
      </c>
      <c r="D16" s="139">
        <f>70+25</f>
        <v>95</v>
      </c>
      <c r="E16" s="137">
        <f t="shared" si="6"/>
        <v>126258.65</v>
      </c>
      <c r="G16" s="138">
        <f t="shared" si="4"/>
        <v>126153.65</v>
      </c>
      <c r="H16" s="139">
        <v>70</v>
      </c>
      <c r="I16" s="139">
        <f>+G16</f>
        <v>126153.65</v>
      </c>
      <c r="J16" s="137">
        <f t="shared" si="0"/>
        <v>105</v>
      </c>
      <c r="P16">
        <v>9</v>
      </c>
    </row>
    <row r="17" spans="1:16">
      <c r="A17" s="140">
        <v>2019</v>
      </c>
      <c r="B17" s="141" t="s">
        <v>97</v>
      </c>
      <c r="C17" s="138">
        <f t="shared" si="5"/>
        <v>126258.65</v>
      </c>
      <c r="D17" s="139">
        <v>2930</v>
      </c>
      <c r="E17" s="137">
        <f t="shared" si="6"/>
        <v>129188.65</v>
      </c>
      <c r="G17" s="138">
        <f t="shared" si="4"/>
        <v>126153.65</v>
      </c>
      <c r="H17" s="139">
        <f>129258.65-70-126153.65</f>
        <v>3035</v>
      </c>
      <c r="I17" s="137">
        <f t="shared" si="2"/>
        <v>129188.65</v>
      </c>
      <c r="J17" s="137">
        <f t="shared" si="0"/>
        <v>0</v>
      </c>
      <c r="P17">
        <v>7</v>
      </c>
    </row>
    <row r="18" spans="1:16">
      <c r="B18" s="140">
        <v>3</v>
      </c>
      <c r="C18" s="138">
        <f t="shared" si="5"/>
        <v>129188.65</v>
      </c>
      <c r="D18" s="139">
        <v>70</v>
      </c>
      <c r="E18" s="137">
        <f t="shared" si="6"/>
        <v>129258.65</v>
      </c>
      <c r="G18" s="138">
        <f t="shared" si="4"/>
        <v>129188.65</v>
      </c>
      <c r="H18" s="139">
        <v>70</v>
      </c>
      <c r="I18" s="137">
        <f t="shared" si="2"/>
        <v>129258.65</v>
      </c>
      <c r="J18" s="137">
        <f t="shared" si="0"/>
        <v>0</v>
      </c>
      <c r="P18">
        <v>1.4</v>
      </c>
    </row>
    <row r="19" spans="1:16">
      <c r="B19" s="140">
        <v>4</v>
      </c>
      <c r="C19" s="138">
        <f t="shared" si="5"/>
        <v>129258.65</v>
      </c>
      <c r="D19" s="139">
        <v>25</v>
      </c>
      <c r="E19" s="137">
        <f t="shared" si="6"/>
        <v>129283.65</v>
      </c>
      <c r="G19" s="138"/>
      <c r="H19" s="139"/>
      <c r="I19" s="137"/>
      <c r="J19" s="137"/>
      <c r="P19">
        <v>1.75</v>
      </c>
    </row>
    <row r="21" spans="1:16">
      <c r="C21" t="s">
        <v>101</v>
      </c>
    </row>
    <row r="22" spans="1:16">
      <c r="C22" s="137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C14" sqref="C14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5" t="s">
        <v>13</v>
      </c>
      <c r="B3" s="48">
        <v>2019</v>
      </c>
    </row>
    <row r="4" spans="1:5">
      <c r="A4" s="45"/>
      <c r="B4" s="48"/>
    </row>
    <row r="5" spans="1:5">
      <c r="A5" s="45" t="s">
        <v>41</v>
      </c>
    </row>
    <row r="6" spans="1:5">
      <c r="A6" s="45" t="s">
        <v>86</v>
      </c>
      <c r="B6" s="48">
        <v>4</v>
      </c>
      <c r="C6" s="1" t="str">
        <f>VLOOKUP(CurrQtr,LKQtr,2)&amp;" - "&amp;VLOOKUP(CurrQtr,LKQtr,4)</f>
        <v>October - December</v>
      </c>
    </row>
    <row r="8" spans="1:5">
      <c r="A8" s="1" t="s">
        <v>84</v>
      </c>
      <c r="E8" s="130">
        <v>0.15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8"/>
  <sheetViews>
    <sheetView showGridLines="0" topLeftCell="A11" zoomScale="80" zoomScaleNormal="80" workbookViewId="0">
      <selection activeCell="J30" sqref="J30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6" customWidth="1"/>
    <col min="5" max="5" width="32.90625" style="96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0" customWidth="1"/>
    <col min="11" max="11" width="9.08984375" style="2" bestFit="1" customWidth="1"/>
    <col min="12" max="16384" width="8.7265625" style="2"/>
  </cols>
  <sheetData>
    <row r="1" spans="1:12" s="21" customFormat="1" ht="20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67"/>
      <c r="K1" s="142"/>
      <c r="L1" s="142"/>
    </row>
    <row r="2" spans="1:12" s="21" customFormat="1" ht="20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42"/>
      <c r="L2" s="142"/>
    </row>
    <row r="3" spans="1:12" ht="23">
      <c r="B3" s="170" t="str">
        <f>+'Top Level'!B3&amp;" Detail of Transactions"</f>
        <v>2019 Detail of Transactions</v>
      </c>
      <c r="C3" s="170"/>
      <c r="D3" s="170"/>
      <c r="E3" s="170"/>
      <c r="F3" s="170"/>
      <c r="G3" s="170"/>
      <c r="H3" s="170"/>
      <c r="I3" s="170"/>
      <c r="J3" s="170"/>
    </row>
    <row r="4" spans="1:12" ht="11.5" customHeight="1">
      <c r="B4" s="171"/>
      <c r="C4" s="171"/>
      <c r="D4" s="171"/>
      <c r="E4" s="171"/>
      <c r="F4" s="171"/>
      <c r="G4" s="171"/>
      <c r="H4" s="171"/>
      <c r="I4" s="171"/>
      <c r="J4" s="171"/>
    </row>
    <row r="5" spans="1:12" ht="22.5" customHeight="1">
      <c r="B5" s="173" t="s">
        <v>17</v>
      </c>
      <c r="C5" s="173" t="s">
        <v>65</v>
      </c>
      <c r="D5" s="173" t="s">
        <v>62</v>
      </c>
      <c r="E5" s="173" t="s">
        <v>63</v>
      </c>
      <c r="F5" s="173" t="s">
        <v>14</v>
      </c>
      <c r="G5" s="173" t="s">
        <v>15</v>
      </c>
      <c r="H5" s="172" t="s">
        <v>66</v>
      </c>
      <c r="I5" s="172"/>
      <c r="J5" s="56"/>
    </row>
    <row r="6" spans="1:12" ht="29" customHeight="1">
      <c r="B6" s="174"/>
      <c r="C6" s="174"/>
      <c r="D6" s="174"/>
      <c r="E6" s="174"/>
      <c r="F6" s="174"/>
      <c r="G6" s="174"/>
      <c r="H6" s="74" t="s">
        <v>5</v>
      </c>
      <c r="I6" s="74" t="s">
        <v>7</v>
      </c>
      <c r="J6" s="81" t="s">
        <v>2</v>
      </c>
    </row>
    <row r="7" spans="1:12" s="11" customFormat="1">
      <c r="B7" s="75" t="s">
        <v>18</v>
      </c>
      <c r="C7" s="76"/>
      <c r="D7" s="104">
        <v>1000</v>
      </c>
      <c r="E7" s="55" t="str">
        <f t="shared" ref="E7:E30" si="0">IF($D7="","",VLOOKUP($D7,Chart,2))</f>
        <v>Fidelity Investments</v>
      </c>
      <c r="F7" s="103">
        <v>4020</v>
      </c>
      <c r="G7" s="55" t="str">
        <f t="shared" ref="G7:G30" si="1">IF($F7="","",VLOOKUP($F7,Chart,2))</f>
        <v>Change in Investment Value</v>
      </c>
      <c r="H7" s="12">
        <v>7583.99</v>
      </c>
      <c r="I7" s="12"/>
      <c r="J7" s="148" t="s">
        <v>102</v>
      </c>
    </row>
    <row r="8" spans="1:12" s="11" customFormat="1" ht="62">
      <c r="B8" s="75" t="s">
        <v>19</v>
      </c>
      <c r="C8" s="76"/>
      <c r="D8" s="103">
        <v>1010</v>
      </c>
      <c r="E8" s="55" t="str">
        <f t="shared" si="0"/>
        <v>Johnson Bank - Checking</v>
      </c>
      <c r="F8" s="103">
        <v>4000</v>
      </c>
      <c r="G8" s="55" t="str">
        <f t="shared" si="1"/>
        <v>Contributions (Principal Increase)</v>
      </c>
      <c r="H8" s="12">
        <v>2930</v>
      </c>
      <c r="I8" s="12"/>
      <c r="J8" s="148" t="s">
        <v>103</v>
      </c>
    </row>
    <row r="9" spans="1:12" s="11" customFormat="1">
      <c r="B9" s="75" t="s">
        <v>19</v>
      </c>
      <c r="C9" s="76"/>
      <c r="D9" s="103">
        <v>1000</v>
      </c>
      <c r="E9" s="55" t="str">
        <f t="shared" si="0"/>
        <v>Fidelity Investments</v>
      </c>
      <c r="F9" s="103">
        <v>4020</v>
      </c>
      <c r="G9" s="55" t="str">
        <f t="shared" si="1"/>
        <v>Change in Investment Value</v>
      </c>
      <c r="H9" s="12">
        <v>2418.13</v>
      </c>
      <c r="I9" s="12"/>
      <c r="J9" s="148" t="s">
        <v>104</v>
      </c>
    </row>
    <row r="10" spans="1:12" s="11" customFormat="1">
      <c r="B10" s="75" t="s">
        <v>20</v>
      </c>
      <c r="C10" s="76"/>
      <c r="D10" s="103">
        <v>1000</v>
      </c>
      <c r="E10" s="55" t="str">
        <f t="shared" si="0"/>
        <v>Fidelity Investments</v>
      </c>
      <c r="F10" s="103">
        <v>4020</v>
      </c>
      <c r="G10" s="55" t="str">
        <f t="shared" si="1"/>
        <v>Change in Investment Value</v>
      </c>
      <c r="H10" s="12">
        <v>1978.48</v>
      </c>
      <c r="I10" s="12"/>
      <c r="J10" s="148" t="s">
        <v>105</v>
      </c>
    </row>
    <row r="11" spans="1:12" s="11" customFormat="1">
      <c r="B11" s="75" t="s">
        <v>21</v>
      </c>
      <c r="C11" s="76"/>
      <c r="D11" s="103">
        <v>1000</v>
      </c>
      <c r="E11" s="55" t="str">
        <f t="shared" si="0"/>
        <v>Fidelity Investments</v>
      </c>
      <c r="F11" s="103">
        <v>4020</v>
      </c>
      <c r="G11" s="55" t="str">
        <f t="shared" si="1"/>
        <v>Change in Investment Value</v>
      </c>
      <c r="H11" s="12">
        <v>3077.61</v>
      </c>
      <c r="I11" s="12"/>
      <c r="J11" s="148" t="s">
        <v>106</v>
      </c>
    </row>
    <row r="12" spans="1:12" s="11" customFormat="1">
      <c r="B12" s="75" t="s">
        <v>22</v>
      </c>
      <c r="C12" s="76"/>
      <c r="D12" s="103">
        <v>1000</v>
      </c>
      <c r="E12" s="55" t="str">
        <f t="shared" si="0"/>
        <v>Fidelity Investments</v>
      </c>
      <c r="F12" s="103">
        <v>4020</v>
      </c>
      <c r="G12" s="55" t="str">
        <f t="shared" si="1"/>
        <v>Change in Investment Value</v>
      </c>
      <c r="H12" s="12"/>
      <c r="I12" s="12">
        <v>4498.88</v>
      </c>
      <c r="J12" s="148" t="s">
        <v>107</v>
      </c>
    </row>
    <row r="13" spans="1:12" s="11" customFormat="1">
      <c r="B13" s="75" t="s">
        <v>23</v>
      </c>
      <c r="C13" s="76"/>
      <c r="D13" s="103">
        <v>1000</v>
      </c>
      <c r="E13" s="55" t="str">
        <f t="shared" si="0"/>
        <v>Fidelity Investments</v>
      </c>
      <c r="F13" s="103">
        <v>4020</v>
      </c>
      <c r="G13" s="55" t="str">
        <f t="shared" si="1"/>
        <v>Change in Investment Value</v>
      </c>
      <c r="H13" s="12">
        <v>6113.99</v>
      </c>
      <c r="I13" s="12"/>
      <c r="J13" s="148" t="s">
        <v>108</v>
      </c>
    </row>
    <row r="14" spans="1:12" s="11" customFormat="1">
      <c r="B14" s="75" t="s">
        <v>24</v>
      </c>
      <c r="C14" s="76"/>
      <c r="D14" s="103">
        <v>1000</v>
      </c>
      <c r="E14" s="55" t="str">
        <f t="shared" si="0"/>
        <v>Fidelity Investments</v>
      </c>
      <c r="F14" s="103">
        <v>4020</v>
      </c>
      <c r="G14" s="55" t="str">
        <f t="shared" si="1"/>
        <v>Change in Investment Value</v>
      </c>
      <c r="H14" s="12">
        <v>113.29</v>
      </c>
      <c r="I14" s="12"/>
      <c r="J14" s="148" t="s">
        <v>109</v>
      </c>
    </row>
    <row r="15" spans="1:12" s="11" customFormat="1">
      <c r="B15" s="75" t="s">
        <v>24</v>
      </c>
      <c r="C15" s="76"/>
      <c r="D15" s="103">
        <v>1010</v>
      </c>
      <c r="E15" s="55" t="str">
        <f t="shared" si="0"/>
        <v>Johnson Bank - Checking</v>
      </c>
      <c r="F15" s="103">
        <v>4000</v>
      </c>
      <c r="G15" s="55" t="str">
        <f t="shared" si="1"/>
        <v>Contributions (Principal Increase)</v>
      </c>
      <c r="H15" s="12">
        <v>70</v>
      </c>
      <c r="I15" s="12"/>
      <c r="J15" s="149" t="s">
        <v>110</v>
      </c>
    </row>
    <row r="16" spans="1:12" s="11" customFormat="1">
      <c r="B16" s="75" t="s">
        <v>25</v>
      </c>
      <c r="C16" s="76"/>
      <c r="D16" s="103">
        <v>1000</v>
      </c>
      <c r="E16" s="55" t="str">
        <f t="shared" si="0"/>
        <v>Fidelity Investments</v>
      </c>
      <c r="F16" s="103">
        <v>4020</v>
      </c>
      <c r="G16" s="55" t="str">
        <f t="shared" si="1"/>
        <v>Change in Investment Value</v>
      </c>
      <c r="H16" s="12"/>
      <c r="I16" s="12">
        <v>792.49</v>
      </c>
      <c r="J16" s="149" t="s">
        <v>111</v>
      </c>
    </row>
    <row r="17" spans="2:10" s="11" customFormat="1">
      <c r="B17" s="75" t="s">
        <v>26</v>
      </c>
      <c r="C17" s="76"/>
      <c r="D17" s="103">
        <v>1000</v>
      </c>
      <c r="E17" s="55" t="str">
        <f t="shared" si="0"/>
        <v>Fidelity Investments</v>
      </c>
      <c r="F17" s="103">
        <v>4020</v>
      </c>
      <c r="G17" s="55" t="str">
        <f t="shared" si="1"/>
        <v>Change in Investment Value</v>
      </c>
      <c r="H17" s="12">
        <v>1245.49</v>
      </c>
      <c r="I17" s="12"/>
      <c r="J17" s="148" t="s">
        <v>112</v>
      </c>
    </row>
    <row r="18" spans="2:10" s="11" customFormat="1">
      <c r="B18" s="75" t="s">
        <v>27</v>
      </c>
      <c r="C18" s="76"/>
      <c r="D18" s="103">
        <v>1010</v>
      </c>
      <c r="E18" s="55" t="str">
        <f t="shared" si="0"/>
        <v>Johnson Bank - Checking</v>
      </c>
      <c r="F18" s="103">
        <v>4000</v>
      </c>
      <c r="G18" s="55" t="str">
        <f t="shared" si="1"/>
        <v>Contributions (Principal Increase)</v>
      </c>
      <c r="H18" s="12">
        <v>25</v>
      </c>
      <c r="I18" s="12"/>
      <c r="J18" s="148" t="s">
        <v>113</v>
      </c>
    </row>
    <row r="19" spans="2:10" s="11" customFormat="1">
      <c r="B19" s="75" t="s">
        <v>27</v>
      </c>
      <c r="C19" s="76"/>
      <c r="D19" s="103">
        <v>1000</v>
      </c>
      <c r="E19" s="55" t="str">
        <f t="shared" si="0"/>
        <v>Fidelity Investments</v>
      </c>
      <c r="F19" s="103">
        <v>4020</v>
      </c>
      <c r="G19" s="55" t="str">
        <f t="shared" si="1"/>
        <v>Change in Investment Value</v>
      </c>
      <c r="H19" s="12">
        <v>3057.01</v>
      </c>
      <c r="I19" s="12"/>
      <c r="J19" s="148" t="s">
        <v>114</v>
      </c>
    </row>
    <row r="20" spans="2:10" s="11" customFormat="1">
      <c r="B20" s="75" t="s">
        <v>16</v>
      </c>
      <c r="C20" s="76"/>
      <c r="D20" s="103">
        <v>1000</v>
      </c>
      <c r="E20" s="55" t="str">
        <f t="shared" si="0"/>
        <v>Fidelity Investments</v>
      </c>
      <c r="F20" s="103">
        <v>4020</v>
      </c>
      <c r="G20" s="55" t="str">
        <f t="shared" si="1"/>
        <v>Change in Investment Value</v>
      </c>
      <c r="H20" s="12">
        <v>2943.78</v>
      </c>
      <c r="I20" s="12"/>
      <c r="J20" s="148" t="s">
        <v>115</v>
      </c>
    </row>
    <row r="21" spans="2:10" s="11" customFormat="1">
      <c r="B21" s="75" t="s">
        <v>28</v>
      </c>
      <c r="C21" s="76"/>
      <c r="D21" s="103">
        <v>1000</v>
      </c>
      <c r="E21" s="55" t="str">
        <f t="shared" si="0"/>
        <v>Fidelity Investments</v>
      </c>
      <c r="F21" s="103">
        <v>5000</v>
      </c>
      <c r="G21" s="55" t="str">
        <f t="shared" si="1"/>
        <v>Grants</v>
      </c>
      <c r="H21" s="12"/>
      <c r="I21" s="12">
        <v>2000</v>
      </c>
      <c r="J21" s="148" t="s">
        <v>116</v>
      </c>
    </row>
    <row r="22" spans="2:10" s="11" customFormat="1" ht="31">
      <c r="B22" s="75" t="s">
        <v>28</v>
      </c>
      <c r="C22" s="76"/>
      <c r="D22" s="103">
        <v>1000</v>
      </c>
      <c r="E22" s="55" t="str">
        <f t="shared" si="0"/>
        <v>Fidelity Investments</v>
      </c>
      <c r="F22" s="103">
        <v>5000</v>
      </c>
      <c r="G22" s="55" t="str">
        <f t="shared" si="1"/>
        <v>Grants</v>
      </c>
      <c r="H22" s="12"/>
      <c r="I22" s="12">
        <v>1000</v>
      </c>
      <c r="J22" s="148" t="s">
        <v>117</v>
      </c>
    </row>
    <row r="23" spans="2:10" s="11" customFormat="1" ht="31">
      <c r="B23" s="75" t="s">
        <v>28</v>
      </c>
      <c r="C23" s="76"/>
      <c r="D23" s="103">
        <v>1000</v>
      </c>
      <c r="E23" s="55" t="str">
        <f t="shared" si="0"/>
        <v>Fidelity Investments</v>
      </c>
      <c r="F23" s="103">
        <v>5000</v>
      </c>
      <c r="G23" s="55" t="str">
        <f t="shared" si="1"/>
        <v>Grants</v>
      </c>
      <c r="H23" s="12"/>
      <c r="I23" s="12">
        <v>2000</v>
      </c>
      <c r="J23" s="148" t="s">
        <v>118</v>
      </c>
    </row>
    <row r="24" spans="2:10" s="11" customFormat="1" ht="31">
      <c r="B24" s="75" t="s">
        <v>28</v>
      </c>
      <c r="C24" s="76"/>
      <c r="D24" s="103">
        <v>1000</v>
      </c>
      <c r="E24" s="55" t="str">
        <f t="shared" si="0"/>
        <v>Fidelity Investments</v>
      </c>
      <c r="F24" s="103">
        <v>5000</v>
      </c>
      <c r="G24" s="55" t="str">
        <f t="shared" si="1"/>
        <v>Grants</v>
      </c>
      <c r="H24" s="12"/>
      <c r="I24" s="12">
        <v>3000</v>
      </c>
      <c r="J24" s="148" t="s">
        <v>119</v>
      </c>
    </row>
    <row r="25" spans="2:10" s="11" customFormat="1" ht="31">
      <c r="B25" s="75" t="s">
        <v>28</v>
      </c>
      <c r="C25" s="76"/>
      <c r="D25" s="103">
        <v>1000</v>
      </c>
      <c r="E25" s="55" t="str">
        <f t="shared" si="0"/>
        <v>Fidelity Investments</v>
      </c>
      <c r="F25" s="103">
        <v>5000</v>
      </c>
      <c r="G25" s="55" t="str">
        <f t="shared" si="1"/>
        <v>Grants</v>
      </c>
      <c r="H25" s="12"/>
      <c r="I25" s="12">
        <v>1000</v>
      </c>
      <c r="J25" s="148" t="s">
        <v>120</v>
      </c>
    </row>
    <row r="26" spans="2:10" s="11" customFormat="1">
      <c r="B26" s="75" t="s">
        <v>28</v>
      </c>
      <c r="C26" s="76">
        <f t="shared" ref="C26:C30" si="2">IF(B26="","",VLOOKUP(B26,LKMonthName,2,0))</f>
        <v>12</v>
      </c>
      <c r="D26" s="103">
        <v>1000</v>
      </c>
      <c r="E26" s="55" t="str">
        <f t="shared" si="0"/>
        <v>Fidelity Investments</v>
      </c>
      <c r="F26" s="103">
        <v>4020</v>
      </c>
      <c r="G26" s="55" t="str">
        <f t="shared" si="1"/>
        <v>Change in Investment Value</v>
      </c>
      <c r="H26" s="12">
        <v>3978.13</v>
      </c>
      <c r="I26" s="12"/>
      <c r="J26" s="148" t="s">
        <v>121</v>
      </c>
    </row>
    <row r="27" spans="2:10" s="143" customFormat="1" ht="31">
      <c r="B27" s="146" t="s">
        <v>28</v>
      </c>
      <c r="C27" s="147"/>
      <c r="D27" s="150">
        <v>1010</v>
      </c>
      <c r="E27" s="145" t="str">
        <f t="shared" si="0"/>
        <v>Johnson Bank - Checking</v>
      </c>
      <c r="F27" s="150">
        <v>5000</v>
      </c>
      <c r="G27" s="145" t="str">
        <f t="shared" si="1"/>
        <v>Grants</v>
      </c>
      <c r="H27" s="144"/>
      <c r="I27" s="144">
        <v>3200</v>
      </c>
      <c r="J27" s="148" t="s">
        <v>122</v>
      </c>
    </row>
    <row r="28" spans="2:10" s="143" customFormat="1">
      <c r="B28" s="146" t="s">
        <v>28</v>
      </c>
      <c r="C28" s="147"/>
      <c r="D28" s="150">
        <v>1020</v>
      </c>
      <c r="E28" s="145" t="str">
        <f t="shared" si="0"/>
        <v>Racine Community Foundation</v>
      </c>
      <c r="F28" s="150">
        <v>4020</v>
      </c>
      <c r="G28" s="145" t="str">
        <f t="shared" si="1"/>
        <v>Change in Investment Value</v>
      </c>
      <c r="H28" s="144">
        <v>4271.87</v>
      </c>
      <c r="I28" s="144"/>
      <c r="J28" s="148" t="s">
        <v>123</v>
      </c>
    </row>
    <row r="29" spans="2:10" s="143" customFormat="1">
      <c r="B29" s="146" t="s">
        <v>28</v>
      </c>
      <c r="C29" s="147"/>
      <c r="D29" s="150">
        <v>1020</v>
      </c>
      <c r="E29" s="145" t="str">
        <f t="shared" si="0"/>
        <v>Racine Community Foundation</v>
      </c>
      <c r="F29" s="150">
        <v>5010</v>
      </c>
      <c r="G29" s="145" t="str">
        <f t="shared" si="1"/>
        <v>Fund Expenses</v>
      </c>
      <c r="H29" s="144"/>
      <c r="I29" s="144">
        <v>230.54</v>
      </c>
      <c r="J29" s="148" t="s">
        <v>123</v>
      </c>
    </row>
    <row r="30" spans="2:10" s="11" customFormat="1">
      <c r="B30" s="75"/>
      <c r="C30" s="76" t="str">
        <f t="shared" si="2"/>
        <v/>
      </c>
      <c r="D30" s="103"/>
      <c r="E30" s="145" t="str">
        <f t="shared" si="0"/>
        <v/>
      </c>
      <c r="F30" s="103"/>
      <c r="G30" s="145" t="str">
        <f t="shared" si="1"/>
        <v/>
      </c>
      <c r="H30" s="13"/>
      <c r="I30" s="13"/>
      <c r="J30" s="77"/>
    </row>
    <row r="31" spans="2:10" ht="6.5" customHeight="1">
      <c r="B31" s="49"/>
      <c r="C31" s="51"/>
      <c r="D31" s="51"/>
      <c r="E31" s="51"/>
      <c r="F31" s="52"/>
      <c r="G31" s="53"/>
      <c r="H31" s="54"/>
      <c r="I31" s="54"/>
      <c r="J31" s="78"/>
    </row>
    <row r="32" spans="2:10">
      <c r="B32" s="4"/>
      <c r="C32" s="4"/>
      <c r="D32" s="4"/>
      <c r="E32" s="4"/>
      <c r="F32" s="4"/>
      <c r="G32" s="4"/>
      <c r="H32" s="14">
        <f>SUM(H7:H31)</f>
        <v>39806.769999999997</v>
      </c>
      <c r="I32" s="14">
        <f>SUM(I7:I31)</f>
        <v>17721.91</v>
      </c>
      <c r="J32" s="79"/>
    </row>
    <row r="35" spans="8:9">
      <c r="H35" s="96"/>
    </row>
    <row r="48" spans="8:9">
      <c r="I48" s="11"/>
    </row>
  </sheetData>
  <autoFilter ref="B6:J30">
    <filterColumn colId="2"/>
    <filterColumn colId="3"/>
    <filterColumn colId="4"/>
  </autoFilter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1">
      <formula1>AcctNumber</formula1>
    </dataValidation>
    <dataValidation type="list" allowBlank="1" showInputMessage="1" showErrorMessage="1" sqref="F7:F30">
      <formula1>Accounts</formula1>
    </dataValidation>
    <dataValidation type="list" allowBlank="1" showInputMessage="1" showErrorMessage="1" sqref="B7:B31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9"/>
  <sheetViews>
    <sheetView showGridLines="0" workbookViewId="0">
      <selection activeCell="A23" sqref="A23:A31"/>
    </sheetView>
  </sheetViews>
  <sheetFormatPr defaultRowHeight="15.5"/>
  <cols>
    <col min="1" max="1" width="25.81640625" style="2" customWidth="1"/>
    <col min="2" max="2" width="6.26953125" style="96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4.453125" style="1" bestFit="1" customWidth="1"/>
    <col min="18" max="18" width="10.1796875" style="1" bestFit="1" customWidth="1"/>
    <col min="19" max="16384" width="8.7265625" style="1"/>
  </cols>
  <sheetData>
    <row r="1" spans="1:18" s="21" customFormat="1" ht="20">
      <c r="A1" s="167" t="s">
        <v>78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8" s="21" customFormat="1" ht="20">
      <c r="A2" s="167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8" s="96" customFormat="1" ht="23">
      <c r="A3" s="170" t="str">
        <f>+'Top Level'!B3&amp;" Bank Accounts and Reconciliation"</f>
        <v>2019 Bank Accounts and Reconciliation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1:18" ht="16" thickBot="1">
      <c r="A4" s="185"/>
      <c r="B4" s="185"/>
      <c r="C4" s="185"/>
      <c r="D4" s="185"/>
      <c r="E4" s="185"/>
      <c r="F4" s="185"/>
      <c r="G4" s="185"/>
      <c r="H4" s="185"/>
      <c r="L4" s="20"/>
      <c r="M4" s="20"/>
      <c r="N4" s="20"/>
    </row>
    <row r="5" spans="1:18" ht="16" thickBot="1">
      <c r="A5" s="123" t="s">
        <v>14</v>
      </c>
      <c r="B5" s="124"/>
      <c r="C5" s="126">
        <v>1000</v>
      </c>
      <c r="D5" s="125"/>
      <c r="E5" s="125"/>
      <c r="F5" s="126">
        <v>1010</v>
      </c>
      <c r="G5" s="125"/>
      <c r="H5" s="125"/>
      <c r="I5" s="127">
        <v>1020</v>
      </c>
      <c r="L5" s="20"/>
      <c r="M5" s="128">
        <v>4000</v>
      </c>
      <c r="N5" s="127">
        <v>5050</v>
      </c>
    </row>
    <row r="6" spans="1:18" ht="16" thickBot="1">
      <c r="C6" s="188" t="str">
        <f>VLOOKUP(C$5,Chart,2)</f>
        <v>Fidelity Investments</v>
      </c>
      <c r="D6" s="189"/>
      <c r="E6" s="190"/>
      <c r="F6" s="188" t="str">
        <f>VLOOKUP(F$5,Chart,2)</f>
        <v>Johnson Bank - Checking</v>
      </c>
      <c r="G6" s="189"/>
      <c r="H6" s="190"/>
      <c r="I6" s="188" t="str">
        <f>VLOOKUP(I$5,Chart,2)</f>
        <v>Racine Community Foundation</v>
      </c>
      <c r="J6" s="181"/>
      <c r="K6" s="182"/>
      <c r="L6" s="66"/>
      <c r="M6" s="180" t="s">
        <v>80</v>
      </c>
      <c r="N6" s="181"/>
      <c r="O6" s="182"/>
    </row>
    <row r="7" spans="1:18">
      <c r="A7" s="15" t="s">
        <v>1</v>
      </c>
      <c r="B7" s="113"/>
      <c r="C7" s="186" t="s">
        <v>8</v>
      </c>
      <c r="D7" s="183" t="s">
        <v>6</v>
      </c>
      <c r="E7" s="5" t="s">
        <v>3</v>
      </c>
      <c r="F7" s="186" t="s">
        <v>8</v>
      </c>
      <c r="G7" s="183" t="s">
        <v>6</v>
      </c>
      <c r="H7" s="5" t="s">
        <v>3</v>
      </c>
      <c r="I7" s="186" t="s">
        <v>8</v>
      </c>
      <c r="J7" s="183" t="s">
        <v>6</v>
      </c>
      <c r="K7" s="5" t="s">
        <v>3</v>
      </c>
      <c r="L7" s="191"/>
      <c r="M7" s="192" t="str">
        <f>LEFT(VLOOKUP(M5,Accounts,2),13)</f>
        <v>Contributions</v>
      </c>
      <c r="N7" s="183" t="str">
        <f>LEFT(VLOOKUP(N5,Accounts,2),10)</f>
        <v>Reductions</v>
      </c>
      <c r="O7" s="5" t="s">
        <v>3</v>
      </c>
    </row>
    <row r="8" spans="1:18" ht="14.5" customHeight="1">
      <c r="A8" s="111" t="s">
        <v>4</v>
      </c>
      <c r="B8" s="115">
        <v>0</v>
      </c>
      <c r="C8" s="187"/>
      <c r="D8" s="184"/>
      <c r="E8" s="6">
        <v>140177.34</v>
      </c>
      <c r="F8" s="187"/>
      <c r="G8" s="184"/>
      <c r="H8" s="6">
        <v>736.25</v>
      </c>
      <c r="I8" s="187"/>
      <c r="J8" s="184"/>
      <c r="K8" s="6">
        <v>21916.78</v>
      </c>
      <c r="L8" s="191"/>
      <c r="M8" s="193"/>
      <c r="N8" s="184"/>
      <c r="O8" s="6">
        <v>126258.65</v>
      </c>
      <c r="Q8" s="19"/>
      <c r="R8" s="19"/>
    </row>
    <row r="9" spans="1:18">
      <c r="A9" s="16" t="str">
        <f>VLOOKUP(1,LKQtr,2)</f>
        <v>January</v>
      </c>
      <c r="B9" s="114">
        <v>1</v>
      </c>
      <c r="C9" s="58">
        <f t="shared" ref="C9:C20" si="0">SUMIFS(SumRevenue,SumMonth,$A9,SumBank,C$5)</f>
        <v>7583.99</v>
      </c>
      <c r="D9" s="58">
        <f t="shared" ref="D9:D20" si="1">SUMIFS(SumExp,SumMonth,$A9,SumBank,C$5)</f>
        <v>0</v>
      </c>
      <c r="E9" s="7">
        <f>+E8+C9-D9</f>
        <v>147761.32999999999</v>
      </c>
      <c r="F9" s="58">
        <f t="shared" ref="F9:F20" si="2">SUMIFS(SumRevenue,SumMonth,$A9,SumBank,F$5)</f>
        <v>0</v>
      </c>
      <c r="G9" s="58">
        <f t="shared" ref="G9:G20" si="3">SUMIFS(SumExp,SumMonth,$A9,SumBank,F$5)</f>
        <v>0</v>
      </c>
      <c r="H9" s="7">
        <f>+H8+F9-G9</f>
        <v>736.25</v>
      </c>
      <c r="I9" s="58">
        <f t="shared" ref="I9:I20" si="4">SUMIFS(SumRevenue,SumMonth,$A9,SumBank,I$5)</f>
        <v>0</v>
      </c>
      <c r="J9" s="58">
        <f t="shared" ref="J9:J20" si="5">SUMIFS(SumExp,SumMonth,$A9,SumBank,I$5)</f>
        <v>0</v>
      </c>
      <c r="K9" s="7">
        <f>+K8+I9-J9</f>
        <v>21916.78</v>
      </c>
      <c r="L9" s="105"/>
      <c r="M9" s="58">
        <f t="shared" ref="M9:M20" si="6">SUMIFS(SumRevenue,SumMonth,$A9,SumAccount,M$5)</f>
        <v>0</v>
      </c>
      <c r="N9" s="58">
        <f t="shared" ref="N9:N20" si="7">SUMIFS(SumExp,SumMonth,$A9,SumAccount,N$5)</f>
        <v>0</v>
      </c>
      <c r="O9" s="7">
        <f>+O8+M9-N9</f>
        <v>126258.65</v>
      </c>
    </row>
    <row r="10" spans="1:18">
      <c r="A10" s="16" t="str">
        <f>VLOOKUP(1,LKQtr,3)</f>
        <v>February</v>
      </c>
      <c r="B10" s="114">
        <v>2</v>
      </c>
      <c r="C10" s="58">
        <f t="shared" si="0"/>
        <v>2418.13</v>
      </c>
      <c r="D10" s="58">
        <f t="shared" si="1"/>
        <v>0</v>
      </c>
      <c r="E10" s="7">
        <f t="shared" ref="E10:E20" si="8">+E9+C10-D10</f>
        <v>150179.46</v>
      </c>
      <c r="F10" s="58">
        <f t="shared" si="2"/>
        <v>2930</v>
      </c>
      <c r="G10" s="58">
        <f t="shared" si="3"/>
        <v>0</v>
      </c>
      <c r="H10" s="7">
        <f t="shared" ref="H10:H18" si="9">+H9+F10-G10</f>
        <v>3666.25</v>
      </c>
      <c r="I10" s="58">
        <f t="shared" si="4"/>
        <v>0</v>
      </c>
      <c r="J10" s="58">
        <f t="shared" si="5"/>
        <v>0</v>
      </c>
      <c r="K10" s="7">
        <f t="shared" ref="K10:K18" si="10">+K9+I10-J10</f>
        <v>21916.78</v>
      </c>
      <c r="L10" s="105"/>
      <c r="M10" s="58">
        <f t="shared" si="6"/>
        <v>2930</v>
      </c>
      <c r="N10" s="58">
        <f t="shared" si="7"/>
        <v>0</v>
      </c>
      <c r="O10" s="7">
        <f t="shared" ref="O10:O18" si="11">+O9+M10-N10</f>
        <v>129188.65</v>
      </c>
    </row>
    <row r="11" spans="1:18">
      <c r="A11" s="16" t="str">
        <f>VLOOKUP(1,LKQtr,4)</f>
        <v>March</v>
      </c>
      <c r="B11" s="114">
        <v>3</v>
      </c>
      <c r="C11" s="58">
        <f t="shared" si="0"/>
        <v>1978.48</v>
      </c>
      <c r="D11" s="58">
        <f t="shared" si="1"/>
        <v>0</v>
      </c>
      <c r="E11" s="7">
        <f t="shared" si="8"/>
        <v>152157.94</v>
      </c>
      <c r="F11" s="58">
        <f t="shared" si="2"/>
        <v>0</v>
      </c>
      <c r="G11" s="58">
        <f t="shared" si="3"/>
        <v>0</v>
      </c>
      <c r="H11" s="7">
        <f t="shared" si="9"/>
        <v>3666.25</v>
      </c>
      <c r="I11" s="58">
        <f t="shared" si="4"/>
        <v>0</v>
      </c>
      <c r="J11" s="58">
        <f t="shared" si="5"/>
        <v>0</v>
      </c>
      <c r="K11" s="7">
        <f t="shared" si="10"/>
        <v>21916.78</v>
      </c>
      <c r="L11" s="105"/>
      <c r="M11" s="58">
        <f t="shared" si="6"/>
        <v>0</v>
      </c>
      <c r="N11" s="58">
        <f t="shared" si="7"/>
        <v>0</v>
      </c>
      <c r="O11" s="7">
        <f t="shared" si="11"/>
        <v>129188.65</v>
      </c>
    </row>
    <row r="12" spans="1:18">
      <c r="A12" s="16" t="str">
        <f>VLOOKUP(2,LKQtr,2)</f>
        <v>April</v>
      </c>
      <c r="B12" s="114">
        <v>4</v>
      </c>
      <c r="C12" s="58">
        <f t="shared" si="0"/>
        <v>3077.61</v>
      </c>
      <c r="D12" s="58">
        <f t="shared" si="1"/>
        <v>0</v>
      </c>
      <c r="E12" s="7">
        <f t="shared" si="8"/>
        <v>155235.54999999999</v>
      </c>
      <c r="F12" s="58">
        <f t="shared" si="2"/>
        <v>0</v>
      </c>
      <c r="G12" s="58">
        <f t="shared" si="3"/>
        <v>0</v>
      </c>
      <c r="H12" s="7">
        <f t="shared" si="9"/>
        <v>3666.25</v>
      </c>
      <c r="I12" s="58">
        <f t="shared" si="4"/>
        <v>0</v>
      </c>
      <c r="J12" s="58">
        <f t="shared" si="5"/>
        <v>0</v>
      </c>
      <c r="K12" s="7">
        <f t="shared" si="10"/>
        <v>21916.78</v>
      </c>
      <c r="L12" s="105"/>
      <c r="M12" s="58">
        <f t="shared" si="6"/>
        <v>0</v>
      </c>
      <c r="N12" s="58">
        <f t="shared" si="7"/>
        <v>0</v>
      </c>
      <c r="O12" s="7">
        <f t="shared" si="11"/>
        <v>129188.65</v>
      </c>
    </row>
    <row r="13" spans="1:18">
      <c r="A13" s="16" t="str">
        <f>VLOOKUP(2,LKQtr,3)</f>
        <v>May</v>
      </c>
      <c r="B13" s="114">
        <v>5</v>
      </c>
      <c r="C13" s="58">
        <f t="shared" si="0"/>
        <v>0</v>
      </c>
      <c r="D13" s="58">
        <f t="shared" si="1"/>
        <v>4498.88</v>
      </c>
      <c r="E13" s="7">
        <f t="shared" si="8"/>
        <v>150736.66999999998</v>
      </c>
      <c r="F13" s="58">
        <f t="shared" si="2"/>
        <v>0</v>
      </c>
      <c r="G13" s="58">
        <f t="shared" si="3"/>
        <v>0</v>
      </c>
      <c r="H13" s="7">
        <f t="shared" si="9"/>
        <v>3666.25</v>
      </c>
      <c r="I13" s="58">
        <f t="shared" si="4"/>
        <v>0</v>
      </c>
      <c r="J13" s="58">
        <f t="shared" si="5"/>
        <v>0</v>
      </c>
      <c r="K13" s="7">
        <f t="shared" si="10"/>
        <v>21916.78</v>
      </c>
      <c r="L13" s="105"/>
      <c r="M13" s="58">
        <f t="shared" si="6"/>
        <v>0</v>
      </c>
      <c r="N13" s="58">
        <f t="shared" si="7"/>
        <v>0</v>
      </c>
      <c r="O13" s="7">
        <f t="shared" si="11"/>
        <v>129188.65</v>
      </c>
    </row>
    <row r="14" spans="1:18">
      <c r="A14" s="16" t="str">
        <f>VLOOKUP(2,LKQtr,4)</f>
        <v>June</v>
      </c>
      <c r="B14" s="114">
        <v>6</v>
      </c>
      <c r="C14" s="58">
        <f t="shared" si="0"/>
        <v>6113.99</v>
      </c>
      <c r="D14" s="58">
        <f t="shared" si="1"/>
        <v>0</v>
      </c>
      <c r="E14" s="7">
        <f t="shared" si="8"/>
        <v>156850.65999999997</v>
      </c>
      <c r="F14" s="58">
        <f t="shared" si="2"/>
        <v>0</v>
      </c>
      <c r="G14" s="58">
        <f t="shared" si="3"/>
        <v>0</v>
      </c>
      <c r="H14" s="7">
        <f t="shared" si="9"/>
        <v>3666.25</v>
      </c>
      <c r="I14" s="58">
        <f t="shared" si="4"/>
        <v>0</v>
      </c>
      <c r="J14" s="58">
        <f t="shared" si="5"/>
        <v>0</v>
      </c>
      <c r="K14" s="7">
        <f t="shared" si="10"/>
        <v>21916.78</v>
      </c>
      <c r="L14" s="105"/>
      <c r="M14" s="58">
        <f t="shared" si="6"/>
        <v>0</v>
      </c>
      <c r="N14" s="58">
        <f t="shared" si="7"/>
        <v>0</v>
      </c>
      <c r="O14" s="7">
        <f t="shared" si="11"/>
        <v>129188.65</v>
      </c>
    </row>
    <row r="15" spans="1:18">
      <c r="A15" s="16" t="str">
        <f>VLOOKUP(3,LKQtr,2)</f>
        <v>July</v>
      </c>
      <c r="B15" s="114">
        <v>7</v>
      </c>
      <c r="C15" s="58">
        <f t="shared" si="0"/>
        <v>113.29</v>
      </c>
      <c r="D15" s="58">
        <f t="shared" si="1"/>
        <v>0</v>
      </c>
      <c r="E15" s="7">
        <f t="shared" si="8"/>
        <v>156963.94999999998</v>
      </c>
      <c r="F15" s="58">
        <f t="shared" si="2"/>
        <v>70</v>
      </c>
      <c r="G15" s="58">
        <f t="shared" si="3"/>
        <v>0</v>
      </c>
      <c r="H15" s="7">
        <f t="shared" si="9"/>
        <v>3736.25</v>
      </c>
      <c r="I15" s="58">
        <f t="shared" si="4"/>
        <v>0</v>
      </c>
      <c r="J15" s="58">
        <f t="shared" si="5"/>
        <v>0</v>
      </c>
      <c r="K15" s="7">
        <f t="shared" si="10"/>
        <v>21916.78</v>
      </c>
      <c r="L15" s="105"/>
      <c r="M15" s="58">
        <f t="shared" si="6"/>
        <v>70</v>
      </c>
      <c r="N15" s="58">
        <f t="shared" si="7"/>
        <v>0</v>
      </c>
      <c r="O15" s="7">
        <f t="shared" si="11"/>
        <v>129258.65</v>
      </c>
      <c r="Q15" s="133"/>
    </row>
    <row r="16" spans="1:18">
      <c r="A16" s="16" t="str">
        <f>VLOOKUP(3,LKQtr,3)</f>
        <v>August</v>
      </c>
      <c r="B16" s="114">
        <v>8</v>
      </c>
      <c r="C16" s="58">
        <f t="shared" si="0"/>
        <v>0</v>
      </c>
      <c r="D16" s="58">
        <f t="shared" si="1"/>
        <v>792.49</v>
      </c>
      <c r="E16" s="7">
        <f t="shared" si="8"/>
        <v>156171.46</v>
      </c>
      <c r="F16" s="58">
        <f t="shared" si="2"/>
        <v>0</v>
      </c>
      <c r="G16" s="58">
        <f t="shared" si="3"/>
        <v>0</v>
      </c>
      <c r="H16" s="7">
        <f t="shared" si="9"/>
        <v>3736.25</v>
      </c>
      <c r="I16" s="58">
        <f t="shared" si="4"/>
        <v>0</v>
      </c>
      <c r="J16" s="58">
        <f t="shared" si="5"/>
        <v>0</v>
      </c>
      <c r="K16" s="7">
        <f t="shared" si="10"/>
        <v>21916.78</v>
      </c>
      <c r="L16" s="105"/>
      <c r="M16" s="58">
        <f t="shared" si="6"/>
        <v>0</v>
      </c>
      <c r="N16" s="58">
        <f t="shared" si="7"/>
        <v>0</v>
      </c>
      <c r="O16" s="7">
        <f t="shared" si="11"/>
        <v>129258.65</v>
      </c>
    </row>
    <row r="17" spans="1:16">
      <c r="A17" s="16" t="str">
        <f>VLOOKUP(3,LKQtr,4)</f>
        <v>September</v>
      </c>
      <c r="B17" s="114">
        <v>9</v>
      </c>
      <c r="C17" s="58">
        <f t="shared" si="0"/>
        <v>1245.49</v>
      </c>
      <c r="D17" s="58">
        <f t="shared" si="1"/>
        <v>0</v>
      </c>
      <c r="E17" s="7">
        <f t="shared" si="8"/>
        <v>157416.94999999998</v>
      </c>
      <c r="F17" s="58">
        <f t="shared" si="2"/>
        <v>0</v>
      </c>
      <c r="G17" s="58">
        <f t="shared" si="3"/>
        <v>0</v>
      </c>
      <c r="H17" s="7">
        <f t="shared" si="9"/>
        <v>3736.25</v>
      </c>
      <c r="I17" s="58">
        <f t="shared" si="4"/>
        <v>0</v>
      </c>
      <c r="J17" s="58">
        <f t="shared" si="5"/>
        <v>0</v>
      </c>
      <c r="K17" s="7">
        <f t="shared" si="10"/>
        <v>21916.78</v>
      </c>
      <c r="L17" s="105"/>
      <c r="M17" s="58">
        <f t="shared" si="6"/>
        <v>0</v>
      </c>
      <c r="N17" s="58">
        <f t="shared" si="7"/>
        <v>0</v>
      </c>
      <c r="O17" s="7">
        <f t="shared" si="11"/>
        <v>129258.65</v>
      </c>
    </row>
    <row r="18" spans="1:16">
      <c r="A18" s="16" t="str">
        <f>VLOOKUP(4,LKQtr,2)</f>
        <v>October</v>
      </c>
      <c r="B18" s="114">
        <v>10</v>
      </c>
      <c r="C18" s="58">
        <f t="shared" si="0"/>
        <v>3057.01</v>
      </c>
      <c r="D18" s="58">
        <f t="shared" si="1"/>
        <v>0</v>
      </c>
      <c r="E18" s="7">
        <f t="shared" si="8"/>
        <v>160473.96</v>
      </c>
      <c r="F18" s="58">
        <f t="shared" si="2"/>
        <v>25</v>
      </c>
      <c r="G18" s="58">
        <f t="shared" si="3"/>
        <v>0</v>
      </c>
      <c r="H18" s="7">
        <f t="shared" si="9"/>
        <v>3761.25</v>
      </c>
      <c r="I18" s="58">
        <f t="shared" si="4"/>
        <v>0</v>
      </c>
      <c r="J18" s="58">
        <f t="shared" si="5"/>
        <v>0</v>
      </c>
      <c r="K18" s="7">
        <f t="shared" si="10"/>
        <v>21916.78</v>
      </c>
      <c r="L18" s="105"/>
      <c r="M18" s="58">
        <f t="shared" si="6"/>
        <v>25</v>
      </c>
      <c r="N18" s="58">
        <f t="shared" si="7"/>
        <v>0</v>
      </c>
      <c r="O18" s="7">
        <f t="shared" si="11"/>
        <v>129283.65</v>
      </c>
    </row>
    <row r="19" spans="1:16">
      <c r="A19" s="16" t="str">
        <f>VLOOKUP(4,LKQtr,3)</f>
        <v>November</v>
      </c>
      <c r="B19" s="114">
        <v>11</v>
      </c>
      <c r="C19" s="58">
        <f t="shared" si="0"/>
        <v>2943.78</v>
      </c>
      <c r="D19" s="58">
        <f t="shared" si="1"/>
        <v>0</v>
      </c>
      <c r="E19" s="7">
        <f>+E18+C19-D19</f>
        <v>163417.74</v>
      </c>
      <c r="F19" s="58">
        <f t="shared" si="2"/>
        <v>0</v>
      </c>
      <c r="G19" s="58">
        <f t="shared" si="3"/>
        <v>0</v>
      </c>
      <c r="H19" s="7">
        <f>+H18+F19-G19</f>
        <v>3761.25</v>
      </c>
      <c r="I19" s="58">
        <f t="shared" si="4"/>
        <v>0</v>
      </c>
      <c r="J19" s="58">
        <f t="shared" si="5"/>
        <v>0</v>
      </c>
      <c r="K19" s="7">
        <f>+K18+I19-J19</f>
        <v>21916.78</v>
      </c>
      <c r="L19" s="105"/>
      <c r="M19" s="58">
        <f t="shared" si="6"/>
        <v>0</v>
      </c>
      <c r="N19" s="58">
        <f t="shared" si="7"/>
        <v>0</v>
      </c>
      <c r="O19" s="7">
        <f>+O18+M19-N19</f>
        <v>129283.65</v>
      </c>
    </row>
    <row r="20" spans="1:16">
      <c r="A20" s="16" t="str">
        <f>VLOOKUP(4,LKQtr,4)</f>
        <v>December</v>
      </c>
      <c r="B20" s="114">
        <v>12</v>
      </c>
      <c r="C20" s="58">
        <f t="shared" si="0"/>
        <v>3978.13</v>
      </c>
      <c r="D20" s="58">
        <f t="shared" si="1"/>
        <v>9000</v>
      </c>
      <c r="E20" s="7">
        <f t="shared" si="8"/>
        <v>158395.87</v>
      </c>
      <c r="F20" s="58">
        <f t="shared" si="2"/>
        <v>0</v>
      </c>
      <c r="G20" s="58">
        <f t="shared" si="3"/>
        <v>3200</v>
      </c>
      <c r="H20" s="7">
        <f t="shared" ref="H20" si="12">+H19+F20-G20</f>
        <v>561.25</v>
      </c>
      <c r="I20" s="58">
        <f t="shared" si="4"/>
        <v>4271.87</v>
      </c>
      <c r="J20" s="58">
        <f t="shared" si="5"/>
        <v>230.54</v>
      </c>
      <c r="K20" s="7">
        <f t="shared" ref="K20" si="13">+K19+I20-J20</f>
        <v>25958.109999999997</v>
      </c>
      <c r="L20" s="105"/>
      <c r="M20" s="58">
        <f t="shared" si="6"/>
        <v>0</v>
      </c>
      <c r="N20" s="58">
        <f t="shared" si="7"/>
        <v>0</v>
      </c>
      <c r="O20" s="7">
        <f t="shared" ref="O20" si="14">+O19+M20-N20</f>
        <v>129283.65</v>
      </c>
    </row>
    <row r="21" spans="1:16" ht="16" thickBot="1">
      <c r="A21" s="17" t="s">
        <v>9</v>
      </c>
      <c r="B21" s="17"/>
      <c r="C21" s="8">
        <f>SUM(C9:C20)</f>
        <v>32509.899999999998</v>
      </c>
      <c r="D21" s="9">
        <f>SUM(D9:D20)</f>
        <v>14291.369999999999</v>
      </c>
      <c r="E21" s="10">
        <f>+E20</f>
        <v>158395.87</v>
      </c>
      <c r="F21" s="8">
        <f>SUM(F9:F20)</f>
        <v>3025</v>
      </c>
      <c r="G21" s="9">
        <f>SUM(G9:G20)</f>
        <v>3200</v>
      </c>
      <c r="H21" s="10">
        <f>+H20</f>
        <v>561.25</v>
      </c>
      <c r="I21" s="8">
        <f>SUM(I9:I20)</f>
        <v>4271.87</v>
      </c>
      <c r="J21" s="9">
        <f>SUM(J9:J20)</f>
        <v>230.54</v>
      </c>
      <c r="K21" s="10">
        <f>+K20</f>
        <v>25958.109999999997</v>
      </c>
      <c r="L21" s="106"/>
      <c r="M21" s="8">
        <f>SUM(M9:M20)</f>
        <v>3025</v>
      </c>
      <c r="N21" s="9">
        <f>SUM(N9:N20)</f>
        <v>0</v>
      </c>
      <c r="O21" s="10">
        <f>+O20</f>
        <v>129283.65</v>
      </c>
    </row>
    <row r="22" spans="1:16">
      <c r="E22" s="3"/>
      <c r="H22" s="3"/>
      <c r="K22" s="3"/>
      <c r="L22" s="20"/>
      <c r="O22" s="3"/>
    </row>
    <row r="23" spans="1:16" ht="16" thickBot="1">
      <c r="A23" s="175" t="s">
        <v>124</v>
      </c>
      <c r="C23" s="151"/>
      <c r="D23" s="152" t="s">
        <v>88</v>
      </c>
      <c r="E23" s="153">
        <v>163395.87</v>
      </c>
      <c r="F23" s="163"/>
      <c r="G23" s="164" t="str">
        <f>+D23</f>
        <v xml:space="preserve">December Stmt.  </v>
      </c>
      <c r="H23" s="153">
        <v>3761.25</v>
      </c>
      <c r="I23" s="163"/>
      <c r="J23" s="164" t="str">
        <f>+G23</f>
        <v xml:space="preserve">December Stmt.  </v>
      </c>
      <c r="K23" s="153">
        <v>25958.11</v>
      </c>
      <c r="L23" s="20"/>
      <c r="N23" s="21"/>
      <c r="O23" s="107"/>
      <c r="P23" s="19"/>
    </row>
    <row r="24" spans="1:16">
      <c r="A24" s="176"/>
      <c r="C24" s="154"/>
      <c r="D24" s="21" t="s">
        <v>42</v>
      </c>
      <c r="E24" s="155">
        <f>+E23-E21</f>
        <v>5000</v>
      </c>
      <c r="F24" s="154"/>
      <c r="G24" s="21"/>
      <c r="H24" s="155">
        <f>+H23-H21</f>
        <v>3200</v>
      </c>
      <c r="I24" s="154"/>
      <c r="J24" s="21"/>
      <c r="K24" s="155">
        <f>+K23-K21</f>
        <v>0</v>
      </c>
      <c r="L24" s="20"/>
      <c r="N24" s="21"/>
      <c r="O24" s="26"/>
    </row>
    <row r="25" spans="1:16">
      <c r="A25" s="176"/>
      <c r="C25" s="156" t="s">
        <v>90</v>
      </c>
      <c r="D25" s="21"/>
      <c r="E25" s="157"/>
      <c r="F25" s="156" t="s">
        <v>90</v>
      </c>
      <c r="G25" s="21"/>
      <c r="H25" s="157"/>
      <c r="I25" s="154"/>
      <c r="J25" s="21"/>
      <c r="K25" s="157"/>
      <c r="L25" s="20"/>
      <c r="M25" s="20"/>
      <c r="N25" s="20"/>
      <c r="O25" s="21"/>
    </row>
    <row r="26" spans="1:16">
      <c r="A26" s="176"/>
      <c r="C26" s="154" t="str">
        <f>+$D$23</f>
        <v xml:space="preserve">December Stmt.  </v>
      </c>
      <c r="D26" s="21"/>
      <c r="E26" s="155">
        <f>+E23</f>
        <v>163395.87</v>
      </c>
      <c r="F26" s="154" t="str">
        <f>+$D$23</f>
        <v xml:space="preserve">December Stmt.  </v>
      </c>
      <c r="G26" s="21"/>
      <c r="H26" s="155">
        <f>+H23</f>
        <v>3761.25</v>
      </c>
      <c r="I26" s="154"/>
      <c r="J26" s="21"/>
      <c r="K26" s="157"/>
      <c r="N26" s="3"/>
    </row>
    <row r="27" spans="1:16">
      <c r="A27" s="176"/>
      <c r="C27" s="178" t="s">
        <v>89</v>
      </c>
      <c r="D27" s="179"/>
      <c r="E27" s="157"/>
      <c r="F27" s="178" t="s">
        <v>89</v>
      </c>
      <c r="G27" s="179"/>
      <c r="H27" s="157"/>
      <c r="I27" s="154"/>
      <c r="J27" s="21"/>
      <c r="K27" s="157"/>
      <c r="N27" s="3"/>
    </row>
    <row r="28" spans="1:16">
      <c r="A28" s="176"/>
      <c r="C28" s="154"/>
      <c r="D28" s="158">
        <v>1139</v>
      </c>
      <c r="E28" s="159">
        <v>2000</v>
      </c>
      <c r="F28" s="154"/>
      <c r="G28" s="158">
        <v>1014</v>
      </c>
      <c r="H28" s="159">
        <v>3200</v>
      </c>
      <c r="I28" s="154"/>
      <c r="J28" s="46"/>
      <c r="K28" s="165"/>
      <c r="L28" s="45"/>
      <c r="M28" s="45"/>
      <c r="N28" s="3"/>
    </row>
    <row r="29" spans="1:16">
      <c r="A29" s="176"/>
      <c r="C29" s="154"/>
      <c r="D29" s="158">
        <v>1140</v>
      </c>
      <c r="E29" s="159">
        <v>3000</v>
      </c>
      <c r="F29" s="154"/>
      <c r="G29" s="158"/>
      <c r="H29" s="159"/>
      <c r="I29" s="154"/>
      <c r="J29" s="21"/>
      <c r="K29" s="157"/>
      <c r="N29" s="3"/>
    </row>
    <row r="30" spans="1:16">
      <c r="A30" s="176"/>
      <c r="C30" s="154" t="s">
        <v>91</v>
      </c>
      <c r="D30" s="21"/>
      <c r="E30" s="160">
        <f>+E26-SUM(E28:E29)</f>
        <v>158395.87</v>
      </c>
      <c r="F30" s="154" t="s">
        <v>91</v>
      </c>
      <c r="G30" s="21"/>
      <c r="H30" s="160">
        <f>+H26-SUM(H28:H29)</f>
        <v>561.25</v>
      </c>
      <c r="I30" s="154"/>
      <c r="J30" s="21"/>
      <c r="K30" s="157"/>
      <c r="N30" s="3"/>
    </row>
    <row r="31" spans="1:16">
      <c r="A31" s="177"/>
      <c r="C31" s="161" t="s">
        <v>42</v>
      </c>
      <c r="D31" s="119"/>
      <c r="E31" s="162">
        <f>+E21-E30</f>
        <v>0</v>
      </c>
      <c r="F31" s="161" t="s">
        <v>42</v>
      </c>
      <c r="G31" s="119"/>
      <c r="H31" s="162">
        <f>+H21-H30</f>
        <v>0</v>
      </c>
      <c r="I31" s="161"/>
      <c r="J31" s="119"/>
      <c r="K31" s="166"/>
      <c r="N31" s="3"/>
    </row>
    <row r="32" spans="1:16">
      <c r="E32" s="3"/>
      <c r="K32" s="3"/>
      <c r="N32" s="3"/>
    </row>
    <row r="33" spans="5:14">
      <c r="E33" s="3"/>
      <c r="H33" s="47"/>
      <c r="K33" s="3"/>
      <c r="N33" s="3"/>
    </row>
    <row r="34" spans="5:14">
      <c r="E34" s="3"/>
      <c r="H34" s="3"/>
      <c r="K34" s="3"/>
      <c r="N34" s="3"/>
    </row>
    <row r="35" spans="5:14">
      <c r="E35" s="3"/>
      <c r="H35" s="3"/>
      <c r="K35" s="3"/>
      <c r="N35" s="3"/>
    </row>
    <row r="40" spans="5:14">
      <c r="E40" s="3"/>
      <c r="H40" s="3"/>
      <c r="K40" s="3"/>
      <c r="N40" s="3"/>
    </row>
    <row r="41" spans="5:14">
      <c r="E41" s="3"/>
      <c r="H41" s="3"/>
      <c r="K41" s="3"/>
      <c r="N41" s="3"/>
    </row>
    <row r="43" spans="5:14">
      <c r="E43" s="3"/>
      <c r="H43" s="3"/>
      <c r="K43" s="3"/>
      <c r="N43" s="3"/>
    </row>
    <row r="48" spans="5:14">
      <c r="E48" s="3"/>
      <c r="H48" s="3"/>
      <c r="K48" s="3"/>
      <c r="N48" s="3"/>
    </row>
    <row r="56" spans="5:14">
      <c r="E56" s="3"/>
      <c r="H56" s="3"/>
      <c r="K56" s="3"/>
      <c r="N56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2" spans="5:14">
      <c r="E72" s="3"/>
      <c r="H72" s="3"/>
      <c r="K72" s="3"/>
      <c r="N72" s="3"/>
    </row>
    <row r="73" spans="5:14">
      <c r="E73" s="3"/>
      <c r="H73" s="3"/>
      <c r="K73" s="3"/>
      <c r="N73" s="3"/>
    </row>
    <row r="74" spans="5:14">
      <c r="E74" s="3"/>
      <c r="H74" s="3"/>
      <c r="K74" s="3"/>
      <c r="N74" s="3"/>
    </row>
    <row r="78" spans="5:14">
      <c r="E78" s="3"/>
      <c r="H78" s="3"/>
      <c r="K78" s="3"/>
      <c r="N78" s="3"/>
    </row>
    <row r="80" spans="5:14">
      <c r="E80" s="3"/>
      <c r="H80" s="3"/>
      <c r="K80" s="3"/>
      <c r="N80" s="3"/>
    </row>
    <row r="84" spans="5:14">
      <c r="E84" s="3"/>
      <c r="H84" s="3"/>
      <c r="K84" s="3"/>
      <c r="N84" s="3"/>
    </row>
    <row r="92" spans="5:14">
      <c r="E92" s="3"/>
      <c r="H92" s="3"/>
      <c r="K92" s="3"/>
      <c r="N92" s="3"/>
    </row>
    <row r="93" spans="5:14">
      <c r="E93" s="3"/>
      <c r="H93" s="3"/>
      <c r="K93" s="3"/>
      <c r="N93" s="3"/>
    </row>
    <row r="96" spans="5:14">
      <c r="E96" s="3"/>
      <c r="H96" s="3"/>
      <c r="K96" s="3"/>
      <c r="N96" s="3"/>
    </row>
    <row r="102" spans="5:14">
      <c r="E102" s="3"/>
      <c r="H102" s="3"/>
      <c r="K102" s="3"/>
      <c r="N102" s="3"/>
    </row>
    <row r="103" spans="5:14">
      <c r="E103" s="3"/>
      <c r="H103" s="3"/>
      <c r="K103" s="3"/>
      <c r="N103" s="3"/>
    </row>
    <row r="104" spans="5:14">
      <c r="E104" s="3"/>
      <c r="H104" s="3"/>
      <c r="K104" s="3"/>
      <c r="N104" s="3"/>
    </row>
    <row r="118" spans="5:14">
      <c r="E118" s="3"/>
      <c r="H118" s="3"/>
      <c r="K118" s="3"/>
      <c r="N118" s="3"/>
    </row>
    <row r="133" spans="5:14">
      <c r="E133" s="3"/>
      <c r="H133" s="3"/>
      <c r="K133" s="3"/>
      <c r="N133" s="3"/>
    </row>
    <row r="159" spans="5:14">
      <c r="E159" s="3"/>
      <c r="H159" s="3"/>
      <c r="K159" s="3"/>
      <c r="N159" s="3"/>
    </row>
  </sheetData>
  <mergeCells count="20">
    <mergeCell ref="L7:L8"/>
    <mergeCell ref="M7:M8"/>
    <mergeCell ref="F6:H6"/>
    <mergeCell ref="I6:K6"/>
    <mergeCell ref="A2:O2"/>
    <mergeCell ref="A1:O1"/>
    <mergeCell ref="A3:O3"/>
    <mergeCell ref="A23:A31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C17" sqref="C17"/>
    </sheetView>
  </sheetViews>
  <sheetFormatPr defaultRowHeight="15.5"/>
  <cols>
    <col min="1" max="1" width="12.08984375" style="39" customWidth="1"/>
    <col min="2" max="2" width="7.7265625" style="39" customWidth="1"/>
    <col min="3" max="3" width="31.26953125" style="39" customWidth="1"/>
    <col min="4" max="6" width="8.7265625" style="39"/>
    <col min="7" max="10" width="13.26953125" style="39" customWidth="1"/>
    <col min="11" max="11" width="3.36328125" style="39" bestFit="1" customWidth="1"/>
    <col min="12" max="14" width="8.7265625" style="39"/>
    <col min="15" max="15" width="9.81640625" style="39" bestFit="1" customWidth="1"/>
    <col min="16" max="16384" width="8.7265625" style="39"/>
  </cols>
  <sheetData>
    <row r="1" spans="1:11" ht="23">
      <c r="B1" s="194" t="s">
        <v>10</v>
      </c>
      <c r="C1" s="194"/>
      <c r="D1" s="194"/>
      <c r="E1" s="194"/>
    </row>
    <row r="2" spans="1:11" ht="15.5" customHeight="1">
      <c r="A2" s="41"/>
      <c r="B2" s="42"/>
    </row>
    <row r="3" spans="1:11" ht="15.5" customHeight="1">
      <c r="A3" s="40"/>
      <c r="B3" s="40"/>
      <c r="C3" s="44" t="s">
        <v>29</v>
      </c>
      <c r="F3" s="195" t="s">
        <v>73</v>
      </c>
      <c r="G3" s="195"/>
      <c r="H3" s="40"/>
      <c r="I3" s="40"/>
      <c r="J3" s="40"/>
      <c r="K3" s="40"/>
    </row>
    <row r="4" spans="1:11" ht="15.5" customHeight="1">
      <c r="A4" s="40"/>
      <c r="B4" s="39">
        <v>1000</v>
      </c>
      <c r="C4" s="50" t="s">
        <v>57</v>
      </c>
      <c r="F4" s="110">
        <v>1</v>
      </c>
      <c r="G4" s="39" t="str">
        <f>VLOOKUP(1,LKMonth,2)</f>
        <v>January</v>
      </c>
      <c r="H4" s="39" t="str">
        <f>VLOOKUP(2,LKMonth,2)</f>
        <v>February</v>
      </c>
      <c r="I4" s="39" t="str">
        <f>VLOOKUP(3,LKMonth,2)</f>
        <v>March</v>
      </c>
      <c r="J4" s="39" t="s">
        <v>69</v>
      </c>
    </row>
    <row r="5" spans="1:11" ht="15.5" customHeight="1">
      <c r="A5" s="40"/>
      <c r="B5" s="39">
        <v>1010</v>
      </c>
      <c r="C5" s="50" t="s">
        <v>0</v>
      </c>
      <c r="F5" s="110">
        <v>2</v>
      </c>
      <c r="G5" s="39" t="str">
        <f>VLOOKUP(4,LKMonth,2)</f>
        <v>April</v>
      </c>
      <c r="H5" s="39" t="str">
        <f>VLOOKUP(5,LKMonth,2)</f>
        <v>May</v>
      </c>
      <c r="I5" s="39" t="str">
        <f>VLOOKUP(6,LKMonth,2)</f>
        <v>June</v>
      </c>
      <c r="J5" s="39" t="s">
        <v>70</v>
      </c>
    </row>
    <row r="6" spans="1:11" ht="15.5" customHeight="1">
      <c r="A6" s="40"/>
      <c r="B6" s="39">
        <v>1020</v>
      </c>
      <c r="C6" s="50" t="s">
        <v>58</v>
      </c>
      <c r="F6" s="110">
        <v>3</v>
      </c>
      <c r="G6" s="39" t="str">
        <f>VLOOKUP(7,LKMonth,2)</f>
        <v>July</v>
      </c>
      <c r="H6" s="39" t="str">
        <f>VLOOKUP(8,LKMonth,2)</f>
        <v>August</v>
      </c>
      <c r="I6" s="39" t="str">
        <f>VLOOKUP(9,LKMonth,2)</f>
        <v>September</v>
      </c>
      <c r="J6" s="39" t="s">
        <v>71</v>
      </c>
    </row>
    <row r="7" spans="1:11" ht="15.5" customHeight="1">
      <c r="A7" s="40"/>
      <c r="C7" s="50"/>
      <c r="F7" s="110">
        <v>4</v>
      </c>
      <c r="G7" s="39" t="str">
        <f>VLOOKUP(10,LKMonth,2)</f>
        <v>October</v>
      </c>
      <c r="H7" s="39" t="str">
        <f>VLOOKUP(11,LKMonth,2)</f>
        <v>November</v>
      </c>
      <c r="I7" s="39" t="str">
        <f>VLOOKUP(12,LKMonth,2)</f>
        <v>December</v>
      </c>
      <c r="J7" s="39" t="s">
        <v>72</v>
      </c>
    </row>
    <row r="8" spans="1:11" ht="15.5" customHeight="1">
      <c r="A8" s="40"/>
      <c r="B8" s="40"/>
      <c r="C8" s="44"/>
    </row>
    <row r="9" spans="1:11" ht="15.5" customHeight="1">
      <c r="A9" s="40"/>
      <c r="B9" s="40"/>
      <c r="C9" s="44" t="s">
        <v>30</v>
      </c>
    </row>
    <row r="10" spans="1:11" ht="15.5" customHeight="1">
      <c r="A10" s="40"/>
      <c r="B10" s="40"/>
      <c r="C10" s="99" t="s">
        <v>59</v>
      </c>
      <c r="F10" s="195" t="s">
        <v>74</v>
      </c>
      <c r="G10" s="195"/>
    </row>
    <row r="11" spans="1:11" ht="15.5" customHeight="1">
      <c r="A11" s="40"/>
      <c r="B11" s="39">
        <v>4000</v>
      </c>
      <c r="C11" s="37" t="s">
        <v>81</v>
      </c>
      <c r="F11" s="110">
        <v>1</v>
      </c>
      <c r="G11" s="112" t="s">
        <v>18</v>
      </c>
      <c r="H11" s="110">
        <v>1</v>
      </c>
    </row>
    <row r="12" spans="1:11" ht="15.5" customHeight="1">
      <c r="A12" s="40"/>
      <c r="B12" s="39">
        <v>4010</v>
      </c>
      <c r="C12" s="37" t="s">
        <v>60</v>
      </c>
      <c r="F12" s="110">
        <v>2</v>
      </c>
      <c r="G12" s="112" t="s">
        <v>19</v>
      </c>
      <c r="H12" s="110">
        <v>2</v>
      </c>
    </row>
    <row r="13" spans="1:11" ht="15.5" customHeight="1">
      <c r="A13" s="40"/>
      <c r="B13" s="39">
        <v>4020</v>
      </c>
      <c r="C13" s="37" t="s">
        <v>87</v>
      </c>
      <c r="F13" s="110">
        <v>3</v>
      </c>
      <c r="G13" s="112" t="s">
        <v>20</v>
      </c>
      <c r="H13" s="110">
        <v>3</v>
      </c>
    </row>
    <row r="14" spans="1:11" ht="15.5" customHeight="1">
      <c r="A14" s="40"/>
      <c r="F14" s="110">
        <v>4</v>
      </c>
      <c r="G14" s="112" t="s">
        <v>21</v>
      </c>
      <c r="H14" s="110">
        <v>4</v>
      </c>
    </row>
    <row r="15" spans="1:11" ht="15.5" customHeight="1">
      <c r="A15" s="40"/>
      <c r="C15" s="99" t="s">
        <v>67</v>
      </c>
      <c r="F15" s="110">
        <v>5</v>
      </c>
      <c r="G15" s="112" t="s">
        <v>22</v>
      </c>
      <c r="H15" s="110">
        <v>5</v>
      </c>
    </row>
    <row r="16" spans="1:11" ht="15.5" customHeight="1">
      <c r="A16" s="40"/>
      <c r="B16" s="39">
        <v>5000</v>
      </c>
      <c r="C16" s="38" t="s">
        <v>43</v>
      </c>
      <c r="F16" s="110">
        <v>6</v>
      </c>
      <c r="G16" s="112" t="s">
        <v>23</v>
      </c>
      <c r="H16" s="110">
        <v>6</v>
      </c>
    </row>
    <row r="17" spans="1:8" ht="15.5" customHeight="1">
      <c r="A17" s="40"/>
      <c r="B17" s="39">
        <v>5010</v>
      </c>
      <c r="C17" s="38" t="s">
        <v>61</v>
      </c>
      <c r="F17" s="110">
        <v>7</v>
      </c>
      <c r="G17" s="112" t="s">
        <v>24</v>
      </c>
      <c r="H17" s="110">
        <v>7</v>
      </c>
    </row>
    <row r="18" spans="1:8" ht="15.5" customHeight="1">
      <c r="A18" s="40"/>
      <c r="B18" s="39">
        <v>5020</v>
      </c>
      <c r="C18" s="38" t="s">
        <v>64</v>
      </c>
      <c r="F18" s="110">
        <v>8</v>
      </c>
      <c r="G18" s="112" t="s">
        <v>25</v>
      </c>
      <c r="H18" s="110">
        <v>8</v>
      </c>
    </row>
    <row r="19" spans="1:8" ht="15.5" customHeight="1">
      <c r="A19" s="40"/>
      <c r="B19" s="39">
        <v>5050</v>
      </c>
      <c r="C19" s="38" t="s">
        <v>82</v>
      </c>
      <c r="F19" s="110">
        <v>9</v>
      </c>
      <c r="G19" s="112" t="s">
        <v>26</v>
      </c>
      <c r="H19" s="110">
        <v>9</v>
      </c>
    </row>
    <row r="20" spans="1:8" ht="15.5" customHeight="1">
      <c r="A20" s="40"/>
      <c r="C20" s="38"/>
      <c r="F20" s="110">
        <v>10</v>
      </c>
      <c r="G20" s="112" t="s">
        <v>27</v>
      </c>
      <c r="H20" s="110">
        <v>10</v>
      </c>
    </row>
    <row r="21" spans="1:8" ht="15.5" customHeight="1">
      <c r="A21" s="40"/>
      <c r="C21" s="38"/>
      <c r="F21" s="110">
        <v>11</v>
      </c>
      <c r="G21" s="112" t="s">
        <v>16</v>
      </c>
      <c r="H21" s="110">
        <v>11</v>
      </c>
    </row>
    <row r="22" spans="1:8" ht="15.5" customHeight="1">
      <c r="A22" s="40"/>
      <c r="C22" s="38"/>
      <c r="F22" s="110">
        <v>12</v>
      </c>
      <c r="G22" s="112" t="s">
        <v>28</v>
      </c>
      <c r="H22" s="110">
        <v>12</v>
      </c>
    </row>
    <row r="23" spans="1:8" ht="15.5" customHeight="1">
      <c r="A23" s="40"/>
    </row>
    <row r="24" spans="1:8" ht="15.5" customHeight="1">
      <c r="A24" s="40"/>
      <c r="B24" s="40"/>
      <c r="C24" s="18"/>
    </row>
    <row r="25" spans="1:8" ht="15.5" customHeight="1">
      <c r="C25" s="38"/>
    </row>
    <row r="26" spans="1:8" ht="15.5" customHeight="1">
      <c r="C26" s="38"/>
    </row>
    <row r="27" spans="1:8" ht="15.5" customHeight="1">
      <c r="C27" s="38"/>
    </row>
    <row r="28" spans="1:8" ht="15.5" customHeight="1">
      <c r="B28" s="40"/>
      <c r="C28" s="18"/>
    </row>
    <row r="29" spans="1:8" ht="15.5" customHeight="1">
      <c r="C29" s="38"/>
    </row>
    <row r="30" spans="1:8" ht="15.5" customHeight="1">
      <c r="C30" s="38"/>
    </row>
    <row r="31" spans="1:8" ht="15.5" customHeight="1">
      <c r="B31" s="40"/>
      <c r="C31" s="18"/>
    </row>
    <row r="32" spans="1:8" ht="15.5" customHeight="1">
      <c r="C32" s="38"/>
    </row>
    <row r="33" spans="3:6" ht="15.5" customHeight="1">
      <c r="C33" s="38"/>
    </row>
    <row r="34" spans="3:6" ht="15.5" customHeight="1">
      <c r="C34" s="38"/>
    </row>
    <row r="35" spans="3:6" ht="15.5" customHeight="1">
      <c r="C35" s="38"/>
    </row>
    <row r="36" spans="3:6" ht="15.5" customHeight="1">
      <c r="C36" s="38"/>
    </row>
    <row r="37" spans="3:6" ht="15.5" customHeight="1">
      <c r="C37" s="38"/>
    </row>
    <row r="38" spans="3:6" ht="15.5" customHeight="1">
      <c r="C38" s="38"/>
    </row>
    <row r="39" spans="3:6" ht="15.5" customHeight="1">
      <c r="C39" s="38"/>
      <c r="F39" s="43"/>
    </row>
    <row r="40" spans="3:6" ht="15.5" customHeight="1">
      <c r="C40" s="38"/>
    </row>
    <row r="41" spans="3:6" ht="15.5" customHeight="1">
      <c r="C41" s="38"/>
    </row>
    <row r="42" spans="3:6" ht="15.5" customHeight="1">
      <c r="C42" s="38"/>
    </row>
    <row r="43" spans="3:6" ht="15.5" customHeight="1">
      <c r="C43" s="38"/>
    </row>
    <row r="44" spans="3:6" ht="15.5" customHeight="1">
      <c r="C44" s="38"/>
    </row>
    <row r="45" spans="3:6" ht="15.5" customHeight="1">
      <c r="C45" s="38"/>
    </row>
    <row r="46" spans="3:6" ht="15.5" customHeight="1">
      <c r="C46" s="38"/>
    </row>
    <row r="47" spans="3:6" ht="15.5" customHeight="1">
      <c r="C47" s="38"/>
    </row>
    <row r="48" spans="3:6" ht="15.5" customHeight="1">
      <c r="C48" s="38"/>
      <c r="E48" s="40"/>
      <c r="F48" s="43"/>
    </row>
    <row r="49" spans="1:4" ht="15.5" customHeight="1">
      <c r="C49" s="38"/>
    </row>
    <row r="50" spans="1:4" ht="15.5" customHeight="1">
      <c r="C50" s="38"/>
    </row>
    <row r="51" spans="1:4" ht="15.5" customHeight="1">
      <c r="C51" s="38"/>
    </row>
    <row r="52" spans="1:4" ht="15.5" customHeight="1"/>
    <row r="53" spans="1:4" ht="15.5" customHeight="1">
      <c r="B53" s="40"/>
      <c r="C53" s="18"/>
    </row>
    <row r="54" spans="1:4" ht="15.5" customHeight="1">
      <c r="B54" s="40"/>
      <c r="C54" s="18"/>
    </row>
    <row r="55" spans="1:4" ht="15.5" customHeight="1">
      <c r="A55" s="40"/>
      <c r="C55" s="38"/>
      <c r="D55" s="39" t="s">
        <v>12</v>
      </c>
    </row>
    <row r="56" spans="1:4" ht="15.5" customHeight="1">
      <c r="A56" s="40"/>
      <c r="C56" s="38"/>
    </row>
    <row r="57" spans="1:4" ht="15.5" customHeight="1">
      <c r="A57" s="40"/>
      <c r="C57" s="38"/>
    </row>
    <row r="58" spans="1:4" ht="15.5" customHeight="1">
      <c r="A58" s="40"/>
      <c r="C58" s="38"/>
    </row>
    <row r="59" spans="1:4" ht="15.5" customHeight="1">
      <c r="A59" s="40"/>
      <c r="C59" s="38"/>
    </row>
    <row r="60" spans="1:4" ht="15.5" customHeight="1">
      <c r="A60" s="40"/>
      <c r="C60" s="18"/>
    </row>
    <row r="61" spans="1:4" ht="15.5" customHeight="1">
      <c r="A61" s="40"/>
      <c r="C61" s="38"/>
    </row>
    <row r="62" spans="1:4" ht="15.5" customHeight="1">
      <c r="A62" s="40"/>
      <c r="C62" s="38"/>
    </row>
    <row r="63" spans="1:4" ht="15.5" customHeight="1">
      <c r="A63" s="40"/>
      <c r="C63" s="38"/>
    </row>
    <row r="64" spans="1:4" ht="15.5" customHeight="1">
      <c r="A64" s="40"/>
      <c r="C64" s="38"/>
    </row>
    <row r="65" spans="1:3" ht="15.5" customHeight="1">
      <c r="A65" s="40"/>
      <c r="C65" s="38"/>
    </row>
    <row r="66" spans="1:3" ht="15.5" customHeight="1">
      <c r="A66" s="40"/>
      <c r="C66" s="38"/>
    </row>
    <row r="67" spans="1:3" ht="15.5" customHeight="1">
      <c r="A67" s="40"/>
      <c r="C67" s="18"/>
    </row>
    <row r="68" spans="1:3" ht="15.5" customHeight="1">
      <c r="A68" s="40"/>
      <c r="C68" s="38"/>
    </row>
    <row r="69" spans="1:3" ht="15.5" customHeight="1">
      <c r="A69" s="40"/>
      <c r="C69" s="38"/>
    </row>
    <row r="70" spans="1:3" ht="15.5" customHeight="1">
      <c r="A70" s="40"/>
      <c r="C70" s="38"/>
    </row>
    <row r="71" spans="1:3" ht="15.5" customHeight="1">
      <c r="A71" s="40"/>
      <c r="C71" s="38"/>
    </row>
    <row r="72" spans="1:3" ht="15.5" customHeight="1">
      <c r="A72" s="40"/>
      <c r="C72" s="38"/>
    </row>
    <row r="73" spans="1:3" ht="15.5" customHeight="1">
      <c r="A73" s="40"/>
      <c r="C73" s="18"/>
    </row>
    <row r="74" spans="1:3" ht="15.5" customHeight="1">
      <c r="A74" s="40"/>
      <c r="C74" s="38"/>
    </row>
    <row r="75" spans="1:3" ht="15.5" customHeight="1">
      <c r="A75" s="40"/>
      <c r="C75" s="38"/>
    </row>
    <row r="76" spans="1:3" ht="15.5" customHeight="1">
      <c r="A76" s="40"/>
      <c r="B76" s="40"/>
      <c r="C76" s="18"/>
    </row>
    <row r="77" spans="1:3" ht="15.5" customHeight="1">
      <c r="A77" s="40"/>
      <c r="C77" s="38"/>
    </row>
    <row r="78" spans="1:3" ht="15.5" customHeight="1">
      <c r="A78" s="40"/>
      <c r="C78" s="38"/>
    </row>
    <row r="79" spans="1:3" ht="15.5" customHeight="1">
      <c r="A79" s="40"/>
      <c r="C79" s="38"/>
    </row>
    <row r="80" spans="1:3" ht="15.5" customHeight="1">
      <c r="A80" s="40"/>
      <c r="C80" s="38"/>
    </row>
    <row r="81" spans="1:4" ht="15.5" customHeight="1">
      <c r="A81" s="40"/>
      <c r="C81" s="38"/>
    </row>
    <row r="82" spans="1:4" ht="15.5" customHeight="1">
      <c r="A82" s="40"/>
      <c r="C82" s="38"/>
    </row>
    <row r="83" spans="1:4" ht="15.5" customHeight="1">
      <c r="A83" s="40"/>
      <c r="C83" s="38"/>
    </row>
    <row r="84" spans="1:4" ht="15.5" customHeight="1">
      <c r="A84" s="40"/>
      <c r="C84" s="18"/>
    </row>
    <row r="85" spans="1:4" ht="15.5" customHeight="1">
      <c r="A85" s="40"/>
      <c r="B85" s="40"/>
      <c r="C85" s="18"/>
    </row>
    <row r="86" spans="1:4" ht="15.5" customHeight="1">
      <c r="A86" s="40"/>
      <c r="C86" s="38"/>
      <c r="D86" s="39" t="s">
        <v>11</v>
      </c>
    </row>
    <row r="87" spans="1:4" ht="15.5" customHeight="1">
      <c r="A87" s="40"/>
      <c r="C87" s="38"/>
    </row>
    <row r="88" spans="1:4" ht="15.5" customHeight="1">
      <c r="A88" s="40"/>
      <c r="C88" s="38"/>
    </row>
    <row r="89" spans="1:4" ht="15.5" customHeight="1">
      <c r="A89" s="40"/>
      <c r="C89" s="38"/>
    </row>
    <row r="90" spans="1:4" ht="15.5" customHeight="1">
      <c r="A90" s="40"/>
      <c r="C90" s="18"/>
    </row>
    <row r="91" spans="1:4" ht="15.5" customHeight="1">
      <c r="A91" s="40"/>
      <c r="C91" s="38"/>
    </row>
    <row r="92" spans="1:4" ht="15.5" customHeight="1">
      <c r="A92" s="40"/>
      <c r="C92" s="38"/>
      <c r="D92" s="38"/>
    </row>
    <row r="93" spans="1:4" ht="15.5" customHeight="1">
      <c r="A93" s="40"/>
      <c r="C93" s="38"/>
      <c r="D93" s="38"/>
    </row>
    <row r="94" spans="1:4" ht="15.5" customHeight="1">
      <c r="A94" s="40"/>
      <c r="C94" s="38"/>
      <c r="D94" s="38"/>
    </row>
    <row r="95" spans="1:4" ht="15.5" customHeight="1">
      <c r="A95" s="40"/>
      <c r="C95" s="38"/>
      <c r="D95" s="38"/>
    </row>
    <row r="96" spans="1:4" ht="15.5" customHeight="1">
      <c r="A96" s="40"/>
      <c r="C96" s="18"/>
    </row>
    <row r="97" spans="1:11" ht="15.5" customHeight="1">
      <c r="A97" s="40"/>
      <c r="C97" s="38"/>
    </row>
    <row r="98" spans="1:11" ht="15.5" customHeight="1">
      <c r="A98" s="40"/>
      <c r="C98" s="38"/>
    </row>
    <row r="99" spans="1:11" ht="15.5" customHeight="1">
      <c r="A99" s="40"/>
      <c r="C99" s="38"/>
      <c r="G99" s="38"/>
      <c r="H99" s="38"/>
      <c r="I99" s="38"/>
      <c r="J99" s="38"/>
      <c r="K99" s="38"/>
    </row>
    <row r="100" spans="1:11" ht="15.5" customHeight="1">
      <c r="A100" s="40"/>
      <c r="B100" s="40"/>
      <c r="C100" s="18"/>
      <c r="G100" s="38"/>
      <c r="H100" s="38"/>
      <c r="I100" s="38"/>
      <c r="J100" s="38"/>
      <c r="K100" s="38"/>
    </row>
    <row r="101" spans="1:11" ht="15.5" customHeight="1">
      <c r="A101" s="40"/>
      <c r="C101" s="38"/>
      <c r="G101" s="38"/>
      <c r="H101" s="38"/>
      <c r="I101" s="38"/>
      <c r="J101" s="38"/>
      <c r="K101" s="38"/>
    </row>
    <row r="102" spans="1:11" ht="15.5" customHeight="1">
      <c r="A102" s="40"/>
      <c r="C102" s="38"/>
      <c r="F102" s="18"/>
      <c r="G102" s="38"/>
      <c r="H102" s="38"/>
      <c r="I102" s="38"/>
      <c r="J102" s="38"/>
      <c r="K102" s="38"/>
    </row>
    <row r="103" spans="1:11" ht="15.5" customHeight="1">
      <c r="A103" s="40"/>
      <c r="C103" s="38"/>
      <c r="F103" s="38"/>
      <c r="G103" s="38"/>
      <c r="H103" s="38"/>
      <c r="I103" s="38"/>
      <c r="J103" s="38"/>
      <c r="K103" s="38"/>
    </row>
    <row r="104" spans="1:11" ht="15.5" customHeight="1">
      <c r="A104" s="40"/>
      <c r="C104" s="38"/>
      <c r="F104" s="38"/>
      <c r="G104" s="38"/>
      <c r="H104" s="38"/>
      <c r="I104" s="38"/>
      <c r="J104" s="38"/>
      <c r="K104" s="38"/>
    </row>
    <row r="105" spans="1:11" ht="15.5" customHeight="1">
      <c r="A105" s="40"/>
      <c r="B105" s="40"/>
      <c r="C105" s="18"/>
      <c r="F105" s="38"/>
      <c r="G105" s="38"/>
      <c r="H105" s="38"/>
      <c r="I105" s="38"/>
      <c r="J105" s="38"/>
      <c r="K105" s="38"/>
    </row>
    <row r="106" spans="1:11" ht="15.5" customHeight="1">
      <c r="A106" s="40"/>
      <c r="C106" s="38"/>
      <c r="F106" s="38"/>
      <c r="G106" s="38"/>
      <c r="H106" s="38"/>
      <c r="I106" s="38"/>
      <c r="J106" s="38"/>
      <c r="K106" s="38"/>
    </row>
    <row r="107" spans="1:11" ht="15.5" customHeight="1">
      <c r="A107" s="40"/>
      <c r="C107" s="38"/>
      <c r="F107" s="38"/>
      <c r="G107" s="38"/>
      <c r="H107" s="38"/>
      <c r="I107" s="38"/>
      <c r="J107" s="38"/>
      <c r="K107" s="38"/>
    </row>
    <row r="108" spans="1:11" ht="15.5" customHeight="1">
      <c r="A108" s="40"/>
      <c r="C108" s="38"/>
      <c r="F108" s="38"/>
      <c r="G108" s="38"/>
      <c r="H108" s="38"/>
      <c r="I108" s="38"/>
      <c r="J108" s="38"/>
      <c r="K108" s="38"/>
    </row>
    <row r="109" spans="1:11" ht="15.5" customHeight="1">
      <c r="A109" s="40"/>
      <c r="B109" s="57"/>
      <c r="C109" s="18"/>
    </row>
    <row r="110" spans="1:11" ht="15.5" customHeight="1">
      <c r="A110" s="40"/>
      <c r="C110" s="43"/>
    </row>
    <row r="111" spans="1:11">
      <c r="C111" s="38"/>
    </row>
    <row r="112" spans="1:11">
      <c r="C112" s="38"/>
    </row>
    <row r="113" spans="2:4">
      <c r="B113" s="40"/>
      <c r="C113" s="43"/>
    </row>
    <row r="114" spans="2:4">
      <c r="C114" s="38"/>
    </row>
    <row r="115" spans="2:4">
      <c r="C115" s="38"/>
    </row>
    <row r="116" spans="2:4">
      <c r="C116" s="38"/>
    </row>
    <row r="117" spans="2:4">
      <c r="C117" s="38"/>
    </row>
    <row r="118" spans="2:4">
      <c r="B118" s="40"/>
      <c r="C118" s="43"/>
    </row>
    <row r="119" spans="2:4">
      <c r="C119" s="38"/>
    </row>
    <row r="120" spans="2:4">
      <c r="C120" s="38"/>
    </row>
    <row r="121" spans="2:4">
      <c r="C121" s="38"/>
    </row>
    <row r="122" spans="2:4">
      <c r="C122" s="38"/>
    </row>
    <row r="123" spans="2:4">
      <c r="C123" s="38"/>
      <c r="D123" s="39" t="s">
        <v>56</v>
      </c>
    </row>
    <row r="124" spans="2:4">
      <c r="C124" s="38"/>
    </row>
    <row r="125" spans="2:4">
      <c r="C125" s="38"/>
    </row>
    <row r="126" spans="2:4">
      <c r="C126" s="43"/>
    </row>
    <row r="127" spans="2:4">
      <c r="C127" s="38"/>
    </row>
    <row r="128" spans="2:4">
      <c r="C128" s="38"/>
    </row>
    <row r="129" spans="3:3">
      <c r="C129" s="38"/>
    </row>
    <row r="130" spans="3:3">
      <c r="C130" s="38"/>
    </row>
    <row r="131" spans="3:3">
      <c r="C131" s="38"/>
    </row>
    <row r="132" spans="3:3">
      <c r="C132" s="38"/>
    </row>
    <row r="133" spans="3:3">
      <c r="C133" s="38"/>
    </row>
    <row r="134" spans="3:3">
      <c r="C134" s="38"/>
    </row>
    <row r="135" spans="3:3">
      <c r="C135" s="38"/>
    </row>
    <row r="136" spans="3:3">
      <c r="C136" s="18"/>
    </row>
    <row r="137" spans="3:3">
      <c r="C137" s="43"/>
    </row>
    <row r="138" spans="3:3">
      <c r="C138" s="38"/>
    </row>
    <row r="139" spans="3:3">
      <c r="C139" s="38"/>
    </row>
    <row r="140" spans="3:3">
      <c r="C140" s="43"/>
    </row>
    <row r="141" spans="3:3">
      <c r="C141" s="38"/>
    </row>
    <row r="142" spans="3:3">
      <c r="C142" s="38"/>
    </row>
    <row r="143" spans="3:3">
      <c r="C143" s="38"/>
    </row>
    <row r="144" spans="3:3">
      <c r="C144" s="43"/>
    </row>
    <row r="145" spans="3:3">
      <c r="C145" s="38"/>
    </row>
    <row r="146" spans="3:3">
      <c r="C146" s="38"/>
    </row>
    <row r="147" spans="3:3">
      <c r="C147" s="38"/>
    </row>
    <row r="148" spans="3:3">
      <c r="C148" s="38"/>
    </row>
    <row r="149" spans="3:3">
      <c r="C149" s="38"/>
    </row>
    <row r="150" spans="3:3">
      <c r="C150" s="38"/>
    </row>
    <row r="151" spans="3:3">
      <c r="C151" s="18"/>
    </row>
    <row r="152" spans="3:3">
      <c r="C152" s="38"/>
    </row>
    <row r="153" spans="3:3">
      <c r="C153" s="38"/>
    </row>
    <row r="154" spans="3:3">
      <c r="C154" s="38"/>
    </row>
    <row r="155" spans="3:3">
      <c r="C155" s="38"/>
    </row>
    <row r="156" spans="3:3">
      <c r="C156" s="38"/>
    </row>
    <row r="157" spans="3:3">
      <c r="C157" s="38"/>
    </row>
    <row r="158" spans="3:3">
      <c r="C158" s="38"/>
    </row>
    <row r="159" spans="3:3">
      <c r="C159" s="38"/>
    </row>
    <row r="160" spans="3:3">
      <c r="C160" s="38"/>
    </row>
    <row r="161" spans="3:3">
      <c r="C161" s="38"/>
    </row>
    <row r="162" spans="3:3">
      <c r="C162" s="18"/>
    </row>
    <row r="163" spans="3:3">
      <c r="C163" s="38"/>
    </row>
    <row r="164" spans="3:3">
      <c r="C164" s="38"/>
    </row>
    <row r="165" spans="3:3">
      <c r="C165" s="38"/>
    </row>
    <row r="168" spans="3:3">
      <c r="C168" s="38"/>
    </row>
    <row r="172" spans="3:3">
      <c r="C172" s="18"/>
    </row>
    <row r="173" spans="3:3">
      <c r="C173" s="18"/>
    </row>
    <row r="175" spans="3:3">
      <c r="C175" s="38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/>
      <c r="C8" s="197"/>
      <c r="D8" s="198"/>
      <c r="E8" s="92"/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50</v>
      </c>
      <c r="C8" s="197"/>
      <c r="D8" s="198"/>
      <c r="E8" s="92">
        <v>350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51</v>
      </c>
      <c r="C8" s="197"/>
      <c r="D8" s="198"/>
      <c r="E8" s="92">
        <v>700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199" t="s">
        <v>31</v>
      </c>
      <c r="B1" s="199"/>
      <c r="C1" s="199"/>
      <c r="D1" s="199"/>
      <c r="E1" s="199"/>
      <c r="F1" s="199"/>
      <c r="G1" s="199"/>
      <c r="H1" s="61"/>
    </row>
    <row r="2" spans="1:9" s="60" customFormat="1" ht="21">
      <c r="A2" s="200" t="s">
        <v>47</v>
      </c>
      <c r="B2" s="200"/>
      <c r="C2" s="200"/>
      <c r="D2" s="200"/>
      <c r="E2" s="200"/>
      <c r="F2" s="200"/>
      <c r="G2" s="200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1" t="s">
        <v>49</v>
      </c>
      <c r="C6" s="202"/>
      <c r="D6" s="203"/>
      <c r="E6" s="201" t="s">
        <v>48</v>
      </c>
      <c r="F6" s="201" t="s">
        <v>44</v>
      </c>
      <c r="G6" s="207" t="s">
        <v>45</v>
      </c>
      <c r="H6" s="60"/>
      <c r="I6" s="60"/>
    </row>
    <row r="7" spans="1:9" ht="23.5" customHeight="1" thickBot="1">
      <c r="A7" s="65" t="s">
        <v>32</v>
      </c>
      <c r="B7" s="204"/>
      <c r="C7" s="205"/>
      <c r="D7" s="206"/>
      <c r="E7" s="204"/>
      <c r="F7" s="204"/>
      <c r="G7" s="208"/>
      <c r="H7" s="60"/>
      <c r="I7" s="60"/>
    </row>
    <row r="8" spans="1:9" ht="40.5" customHeight="1" thickBot="1">
      <c r="A8" s="64">
        <v>1</v>
      </c>
      <c r="B8" s="196" t="s">
        <v>52</v>
      </c>
      <c r="C8" s="197"/>
      <c r="D8" s="198"/>
      <c r="E8" s="92">
        <v>290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6"/>
      <c r="C9" s="197"/>
      <c r="D9" s="198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6"/>
      <c r="C10" s="197"/>
      <c r="D10" s="198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6"/>
      <c r="C11" s="197"/>
      <c r="D11" s="198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6"/>
      <c r="C14" s="197"/>
      <c r="D14" s="198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6"/>
      <c r="C15" s="197"/>
      <c r="D15" s="198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6"/>
      <c r="C16" s="197"/>
      <c r="D16" s="198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6"/>
      <c r="C17" s="197"/>
      <c r="D17" s="198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6"/>
      <c r="C18" s="197"/>
      <c r="D18" s="198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6"/>
      <c r="C19" s="197"/>
      <c r="D19" s="198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6"/>
      <c r="C20" s="197"/>
      <c r="D20" s="198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6"/>
      <c r="C21" s="197"/>
      <c r="D21" s="198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6"/>
      <c r="C28" s="197"/>
      <c r="D28" s="198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2020-04-14T18:43:08Z</cp:lastPrinted>
  <dcterms:created xsi:type="dcterms:W3CDTF">2013-11-11T13:58:06Z</dcterms:created>
  <dcterms:modified xsi:type="dcterms:W3CDTF">2020-04-14T18:46:14Z</dcterms:modified>
</cp:coreProperties>
</file>